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ry.adames\Desktop\"/>
    </mc:Choice>
  </mc:AlternateContent>
  <bookViews>
    <workbookView xWindow="0" yWindow="0" windowWidth="28770" windowHeight="12360" activeTab="2"/>
  </bookViews>
  <sheets>
    <sheet name="Inventario Cocina al 30-04-18 f" sheetId="2" r:id="rId1"/>
    <sheet name="Inv.  Material Gast.30-04-18 F" sheetId="4" r:id="rId2"/>
    <sheet name="Textil 30-04-18" sheetId="6" r:id="rId3"/>
  </sheets>
  <externalReferences>
    <externalReference r:id="rId4"/>
  </externalReferences>
  <definedNames>
    <definedName name="ddd" localSheetId="2">#REF!</definedName>
    <definedName name="ddd">#REF!</definedName>
    <definedName name="dddd" localSheetId="2">#REF!</definedName>
    <definedName name="dddd">#REF!</definedName>
    <definedName name="deeere" localSheetId="2">#REF!</definedName>
    <definedName name="deeere">#REF!</definedName>
    <definedName name="eee" localSheetId="2">#REF!</definedName>
    <definedName name="eee">#REF!</definedName>
    <definedName name="MyExchangeRate" localSheetId="2">#REF!</definedName>
    <definedName name="MyExchangeRate">#REF!</definedName>
    <definedName name="_xlnm.Print_Area" localSheetId="2">'Textil 30-04-18'!$A$1:$K$80</definedName>
    <definedName name="_xlnm.Print_Titles" localSheetId="2">'Textil 30-04-18'!$1:$3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1" i="6" l="1"/>
  <c r="J71" i="6" s="1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8" i="6"/>
  <c r="J29" i="6"/>
  <c r="J36" i="6"/>
  <c r="J37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2" i="6"/>
  <c r="J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J27" i="6" s="1"/>
  <c r="H28" i="6"/>
  <c r="H29" i="6"/>
  <c r="H30" i="6"/>
  <c r="J30" i="6" s="1"/>
  <c r="H31" i="6"/>
  <c r="J31" i="6" s="1"/>
  <c r="H32" i="6"/>
  <c r="J32" i="6" s="1"/>
  <c r="H33" i="6"/>
  <c r="J33" i="6" s="1"/>
  <c r="H34" i="6"/>
  <c r="J34" i="6" s="1"/>
  <c r="H35" i="6"/>
  <c r="J35" i="6" s="1"/>
  <c r="H36" i="6"/>
  <c r="H37" i="6"/>
  <c r="H38" i="6"/>
  <c r="J38" i="6" s="1"/>
  <c r="H39" i="6"/>
  <c r="J39" i="6" s="1"/>
  <c r="H40" i="6"/>
  <c r="J40" i="6" s="1"/>
  <c r="H41" i="6"/>
  <c r="J41" i="6" s="1"/>
  <c r="H42" i="6"/>
  <c r="J42" i="6" s="1"/>
  <c r="H43" i="6"/>
  <c r="J43" i="6" s="1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2" i="6"/>
  <c r="H4" i="6"/>
  <c r="J73" i="6" l="1"/>
  <c r="D36" i="4" l="1"/>
  <c r="D32" i="2" l="1"/>
  <c r="F32" i="2"/>
  <c r="A1" i="6" l="1"/>
  <c r="D162" i="4" l="1"/>
  <c r="D161" i="4"/>
  <c r="D155" i="4"/>
  <c r="D154" i="4"/>
  <c r="D152" i="4"/>
  <c r="D151" i="4"/>
  <c r="D148" i="4"/>
  <c r="D144" i="4"/>
  <c r="D143" i="4"/>
  <c r="D137" i="4"/>
  <c r="D142" i="4"/>
  <c r="D141" i="4"/>
  <c r="D140" i="4"/>
  <c r="D138" i="4"/>
  <c r="D136" i="4"/>
  <c r="D135" i="4"/>
  <c r="D134" i="4"/>
  <c r="D132" i="4"/>
  <c r="D126" i="4"/>
  <c r="D125" i="4"/>
  <c r="D122" i="4"/>
  <c r="D121" i="4"/>
  <c r="D106" i="4"/>
  <c r="D105" i="4"/>
  <c r="D102" i="4"/>
  <c r="D101" i="4"/>
  <c r="D100" i="4"/>
  <c r="D99" i="4"/>
  <c r="D97" i="4"/>
  <c r="D94" i="4"/>
  <c r="D93" i="4"/>
  <c r="D7" i="4"/>
  <c r="D86" i="4"/>
  <c r="D85" i="4"/>
  <c r="D83" i="4"/>
  <c r="D12" i="4"/>
  <c r="D78" i="4"/>
  <c r="D77" i="4"/>
  <c r="D76" i="4"/>
  <c r="D74" i="4"/>
  <c r="D71" i="4"/>
  <c r="D69" i="4"/>
  <c r="D68" i="4"/>
  <c r="D63" i="4"/>
  <c r="D60" i="4"/>
  <c r="D57" i="4"/>
  <c r="D56" i="4"/>
  <c r="D55" i="4"/>
  <c r="D54" i="4"/>
  <c r="D52" i="4"/>
  <c r="D51" i="4"/>
  <c r="D50" i="4"/>
  <c r="D48" i="4"/>
  <c r="D37" i="4"/>
  <c r="D35" i="4"/>
  <c r="D34" i="4"/>
  <c r="D33" i="4"/>
  <c r="D32" i="4"/>
  <c r="D31" i="4"/>
  <c r="D30" i="4"/>
  <c r="D28" i="4"/>
  <c r="D25" i="4"/>
  <c r="D24" i="4"/>
  <c r="D23" i="4"/>
  <c r="D19" i="4"/>
  <c r="D16" i="4"/>
  <c r="D14" i="4"/>
  <c r="D6" i="4"/>
  <c r="F165" i="4" l="1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A1" i="4"/>
  <c r="F167" i="4" l="1"/>
  <c r="F168" i="4"/>
  <c r="F79" i="4"/>
  <c r="F170" i="4" l="1"/>
  <c r="F5" i="2"/>
  <c r="D90" i="2"/>
  <c r="F90" i="2" s="1"/>
  <c r="F87" i="2"/>
  <c r="F86" i="2"/>
  <c r="D85" i="2"/>
  <c r="F85" i="2"/>
  <c r="D83" i="2"/>
  <c r="D82" i="2"/>
  <c r="D81" i="2"/>
  <c r="D79" i="2"/>
  <c r="F79" i="2" s="1"/>
  <c r="D77" i="2"/>
  <c r="D78" i="2"/>
  <c r="F75" i="2"/>
  <c r="D74" i="2"/>
  <c r="F74" i="2" s="1"/>
  <c r="F71" i="2"/>
  <c r="D73" i="2"/>
  <c r="F73" i="2" s="1"/>
  <c r="D72" i="2"/>
  <c r="D69" i="2"/>
  <c r="F69" i="2" s="1"/>
  <c r="D68" i="2"/>
  <c r="F68" i="2" s="1"/>
  <c r="D66" i="2"/>
  <c r="F66" i="2" s="1"/>
  <c r="D65" i="2"/>
  <c r="F65" i="2" s="1"/>
  <c r="D59" i="2"/>
  <c r="F59" i="2" s="1"/>
  <c r="D58" i="2"/>
  <c r="D57" i="2"/>
  <c r="F57" i="2" s="1"/>
  <c r="D55" i="2"/>
  <c r="F55" i="2" s="1"/>
  <c r="F53" i="2"/>
  <c r="D54" i="2"/>
  <c r="D51" i="2"/>
  <c r="F51" i="2" s="1"/>
  <c r="D13" i="2"/>
  <c r="F13" i="2" s="1"/>
  <c r="D50" i="2"/>
  <c r="F50" i="2" s="1"/>
  <c r="D49" i="2"/>
  <c r="F49" i="2" s="1"/>
  <c r="D48" i="2"/>
  <c r="F48" i="2" s="1"/>
  <c r="D47" i="2"/>
  <c r="F47" i="2" s="1"/>
  <c r="D43" i="2"/>
  <c r="D41" i="2"/>
  <c r="D40" i="2"/>
  <c r="F40" i="2" s="1"/>
  <c r="D38" i="2"/>
  <c r="F38" i="2" s="1"/>
  <c r="D37" i="2"/>
  <c r="F37" i="2" s="1"/>
  <c r="D36" i="2"/>
  <c r="D35" i="2"/>
  <c r="F35" i="2" s="1"/>
  <c r="D33" i="2"/>
  <c r="F33" i="2" s="1"/>
  <c r="F91" i="2"/>
  <c r="D31" i="2"/>
  <c r="D29" i="2"/>
  <c r="F29" i="2"/>
  <c r="D25" i="2"/>
  <c r="F25" i="2" s="1"/>
  <c r="D24" i="2"/>
  <c r="F24" i="2" s="1"/>
  <c r="D22" i="2"/>
  <c r="F22" i="2" s="1"/>
  <c r="D21" i="2"/>
  <c r="F21" i="2" s="1"/>
  <c r="D14" i="2"/>
  <c r="F14" i="2" s="1"/>
  <c r="D12" i="2"/>
  <c r="F12" i="2" s="1"/>
  <c r="D8" i="2"/>
  <c r="F8" i="2" s="1"/>
  <c r="D7" i="2"/>
  <c r="F7" i="2" s="1"/>
  <c r="D6" i="2"/>
  <c r="F6" i="2" s="1"/>
  <c r="F9" i="2"/>
  <c r="F10" i="2"/>
  <c r="F11" i="2"/>
  <c r="F15" i="2"/>
  <c r="F16" i="2"/>
  <c r="F17" i="2"/>
  <c r="F18" i="2"/>
  <c r="F19" i="2"/>
  <c r="F20" i="2"/>
  <c r="F23" i="2"/>
  <c r="F26" i="2"/>
  <c r="F27" i="2"/>
  <c r="F28" i="2"/>
  <c r="F30" i="2"/>
  <c r="F31" i="2"/>
  <c r="F34" i="2"/>
  <c r="F36" i="2"/>
  <c r="F39" i="2"/>
  <c r="F41" i="2"/>
  <c r="F42" i="2"/>
  <c r="F43" i="2"/>
  <c r="F44" i="2"/>
  <c r="F45" i="2"/>
  <c r="F46" i="2"/>
  <c r="F52" i="2"/>
  <c r="F54" i="2"/>
  <c r="F56" i="2"/>
  <c r="F58" i="2"/>
  <c r="F60" i="2"/>
  <c r="F61" i="2"/>
  <c r="F62" i="2"/>
  <c r="F63" i="2"/>
  <c r="F64" i="2"/>
  <c r="F67" i="2"/>
  <c r="F70" i="2"/>
  <c r="F72" i="2"/>
  <c r="F76" i="2"/>
  <c r="F77" i="2"/>
  <c r="F78" i="2"/>
  <c r="F80" i="2"/>
  <c r="F81" i="2"/>
  <c r="F82" i="2"/>
  <c r="F83" i="2"/>
  <c r="F84" i="2"/>
  <c r="F88" i="2"/>
  <c r="F89" i="2"/>
  <c r="D5" i="2"/>
</calcChain>
</file>

<file path=xl/sharedStrings.xml><?xml version="1.0" encoding="utf-8"?>
<sst xmlns="http://schemas.openxmlformats.org/spreadsheetml/2006/main" count="740" uniqueCount="300">
  <si>
    <t xml:space="preserve">Agua </t>
  </si>
  <si>
    <t>118</t>
  </si>
  <si>
    <t>54</t>
  </si>
  <si>
    <t>Ambientadores</t>
  </si>
  <si>
    <t>49.85</t>
  </si>
  <si>
    <t xml:space="preserve">Azucar </t>
  </si>
  <si>
    <t>119</t>
  </si>
  <si>
    <t>336.02</t>
  </si>
  <si>
    <t>Café</t>
  </si>
  <si>
    <t>189.99</t>
  </si>
  <si>
    <t>Cepillo</t>
  </si>
  <si>
    <t>73</t>
  </si>
  <si>
    <t xml:space="preserve">Cilindro </t>
  </si>
  <si>
    <t>3400</t>
  </si>
  <si>
    <t>Cloro</t>
  </si>
  <si>
    <t>84.75</t>
  </si>
  <si>
    <t xml:space="preserve">Copa </t>
  </si>
  <si>
    <t>200</t>
  </si>
  <si>
    <t>Cubeta</t>
  </si>
  <si>
    <t xml:space="preserve">Cuchara </t>
  </si>
  <si>
    <t xml:space="preserve">Cucharon </t>
  </si>
  <si>
    <t>Cuchillo</t>
  </si>
  <si>
    <t>Escobas</t>
  </si>
  <si>
    <t xml:space="preserve">Escobilla </t>
  </si>
  <si>
    <t>Estufa de 2 hornillas</t>
  </si>
  <si>
    <t xml:space="preserve">Fundas </t>
  </si>
  <si>
    <t>GEL</t>
  </si>
  <si>
    <t xml:space="preserve">Guantes </t>
  </si>
  <si>
    <t>Jabon</t>
  </si>
  <si>
    <t>Jarra</t>
  </si>
  <si>
    <t xml:space="preserve">Lanilla </t>
  </si>
  <si>
    <t xml:space="preserve">Macarillas </t>
  </si>
  <si>
    <t>Palita</t>
  </si>
  <si>
    <t>Pinzas</t>
  </si>
  <si>
    <t xml:space="preserve">Platos </t>
  </si>
  <si>
    <t xml:space="preserve">Plato </t>
  </si>
  <si>
    <t>Servilletas</t>
  </si>
  <si>
    <t>Suaper</t>
  </si>
  <si>
    <t>Tapete de lino</t>
  </si>
  <si>
    <t xml:space="preserve">Taza </t>
  </si>
  <si>
    <t xml:space="preserve">Tenedores </t>
  </si>
  <si>
    <t xml:space="preserve">Toalla </t>
  </si>
  <si>
    <t>00001553</t>
  </si>
  <si>
    <t>Bandejas</t>
  </si>
  <si>
    <t>00001677</t>
  </si>
  <si>
    <t>Baygon</t>
  </si>
  <si>
    <t>00001657</t>
  </si>
  <si>
    <t>00001658</t>
  </si>
  <si>
    <t>00001214</t>
  </si>
  <si>
    <t>00001216</t>
  </si>
  <si>
    <t>00001396</t>
  </si>
  <si>
    <t>00001664</t>
  </si>
  <si>
    <t>00001566</t>
  </si>
  <si>
    <t>00000607</t>
  </si>
  <si>
    <t>00000734</t>
  </si>
  <si>
    <t>00000615</t>
  </si>
  <si>
    <t>00001679</t>
  </si>
  <si>
    <t>DIRECCION GENERAL DE ETICA E INTEGRIDAD GUBERNAMENTAL</t>
  </si>
  <si>
    <t>Código Institucional</t>
  </si>
  <si>
    <t>FECHA DE ADQUISICION / REGISTRO</t>
  </si>
  <si>
    <t>BREVE DESCRIPCION DEL BIEN</t>
  </si>
  <si>
    <t>EXISTENCIA</t>
  </si>
  <si>
    <t>PRECIO UNITARIO RD$</t>
  </si>
  <si>
    <t>VALORES RD$</t>
  </si>
  <si>
    <t>En proceso</t>
  </si>
  <si>
    <t xml:space="preserve">Bandejas </t>
  </si>
  <si>
    <t xml:space="preserve">Caldero </t>
  </si>
  <si>
    <t>00001680</t>
  </si>
  <si>
    <t xml:space="preserve"> 0</t>
  </si>
  <si>
    <t>59</t>
  </si>
  <si>
    <t>Cucharón</t>
  </si>
  <si>
    <t>00001678</t>
  </si>
  <si>
    <t xml:space="preserve">Escurridor </t>
  </si>
  <si>
    <t>00001734</t>
  </si>
  <si>
    <t>Estufa industrial</t>
  </si>
  <si>
    <t>00001567</t>
  </si>
  <si>
    <t>00001322</t>
  </si>
  <si>
    <t>00000556</t>
  </si>
  <si>
    <t>00001676</t>
  </si>
  <si>
    <t>00001562</t>
  </si>
  <si>
    <t>Limpiador</t>
  </si>
  <si>
    <t>Manguera</t>
  </si>
  <si>
    <t>00001311</t>
  </si>
  <si>
    <t>00001554</t>
  </si>
  <si>
    <t>Mistolín</t>
  </si>
  <si>
    <t>00000595</t>
  </si>
  <si>
    <t xml:space="preserve">Palita </t>
  </si>
  <si>
    <t>00001501</t>
  </si>
  <si>
    <t>Plato plastico</t>
  </si>
  <si>
    <t>Plato</t>
  </si>
  <si>
    <t>00000372</t>
  </si>
  <si>
    <t>Rollo papel higienico</t>
  </si>
  <si>
    <t>Rollo lanilla</t>
  </si>
  <si>
    <t>00000603</t>
  </si>
  <si>
    <t xml:space="preserve">Tarra </t>
  </si>
  <si>
    <t>00001552</t>
  </si>
  <si>
    <t xml:space="preserve">Vasos </t>
  </si>
  <si>
    <t>00000606</t>
  </si>
  <si>
    <t xml:space="preserve">Zafacón grande </t>
  </si>
  <si>
    <t>00001496</t>
  </si>
  <si>
    <t>Zafacón cocina</t>
  </si>
  <si>
    <t>Total General RD$</t>
  </si>
  <si>
    <t>Realizado por:</t>
  </si>
  <si>
    <t xml:space="preserve">Bethania de los Santos </t>
  </si>
  <si>
    <t>Digitadora</t>
  </si>
  <si>
    <t xml:space="preserve">Nota: </t>
  </si>
  <si>
    <t xml:space="preserve">El término en proceso, es porque el código de este artículo no está listo </t>
  </si>
  <si>
    <t>00007684</t>
  </si>
  <si>
    <t>00000846</t>
  </si>
  <si>
    <t>00001586</t>
  </si>
  <si>
    <t>00001260</t>
  </si>
  <si>
    <t>00001215</t>
  </si>
  <si>
    <t>00000729</t>
  </si>
  <si>
    <t>RELACION DE INVENTARIO DE MATERIAL DE COCINA AL 30/04/2018</t>
  </si>
  <si>
    <t>100</t>
  </si>
  <si>
    <t>104</t>
  </si>
  <si>
    <t>96.41</t>
  </si>
  <si>
    <t>00001663</t>
  </si>
  <si>
    <t>00000390</t>
  </si>
  <si>
    <t>00001661</t>
  </si>
  <si>
    <t>00001498</t>
  </si>
  <si>
    <t>00001499</t>
  </si>
  <si>
    <t>00001685</t>
  </si>
  <si>
    <t>00001500</t>
  </si>
  <si>
    <t>Vasos</t>
  </si>
  <si>
    <t>20.04</t>
  </si>
  <si>
    <t>108.32</t>
  </si>
  <si>
    <t>Papel servilleta Baño</t>
  </si>
  <si>
    <t>Acordeon plastico</t>
  </si>
  <si>
    <t xml:space="preserve">Bandas </t>
  </si>
  <si>
    <t>Bandeja de escritorio</t>
  </si>
  <si>
    <t>Barra</t>
  </si>
  <si>
    <t xml:space="preserve">Base </t>
  </si>
  <si>
    <t xml:space="preserve">Baterías (pilas) </t>
  </si>
  <si>
    <t xml:space="preserve">Borras </t>
  </si>
  <si>
    <t xml:space="preserve">Calculadora </t>
  </si>
  <si>
    <t>Carpetas</t>
  </si>
  <si>
    <t>Cartucho de Tóner</t>
  </si>
  <si>
    <t xml:space="preserve">Cartucho </t>
  </si>
  <si>
    <t xml:space="preserve">Cartulina </t>
  </si>
  <si>
    <t xml:space="preserve">Cera </t>
  </si>
  <si>
    <t>Cinta</t>
  </si>
  <si>
    <t>Cinta Corrector</t>
  </si>
  <si>
    <t xml:space="preserve">Cinta </t>
  </si>
  <si>
    <t>Clips</t>
  </si>
  <si>
    <t xml:space="preserve">Clips </t>
  </si>
  <si>
    <t>Clips &amp; Pins</t>
  </si>
  <si>
    <t xml:space="preserve">Dispensador </t>
  </si>
  <si>
    <t>Espirales</t>
  </si>
  <si>
    <t>Felpas</t>
  </si>
  <si>
    <t>Folders</t>
  </si>
  <si>
    <t xml:space="preserve">Forders </t>
  </si>
  <si>
    <t>Gafetes (distintivo)</t>
  </si>
  <si>
    <t xml:space="preserve">Gafetes </t>
  </si>
  <si>
    <t xml:space="preserve">Gancho </t>
  </si>
  <si>
    <t xml:space="preserve">Gotero </t>
  </si>
  <si>
    <t>Gotero y/o tinta  1/12</t>
  </si>
  <si>
    <t>Grapadora</t>
  </si>
  <si>
    <t xml:space="preserve">Grapas </t>
  </si>
  <si>
    <t>Grapas</t>
  </si>
  <si>
    <t>Guillotina</t>
  </si>
  <si>
    <t>Hoja Estandars</t>
  </si>
  <si>
    <t>Labels y/o etiqueta</t>
  </si>
  <si>
    <t xml:space="preserve">Labels y/o etiqueta </t>
  </si>
  <si>
    <t>Lapiceros</t>
  </si>
  <si>
    <t>Lápices</t>
  </si>
  <si>
    <t>Lapiz</t>
  </si>
  <si>
    <t xml:space="preserve">Lápiz </t>
  </si>
  <si>
    <t>Libretas rayadas</t>
  </si>
  <si>
    <t>Libro</t>
  </si>
  <si>
    <t>Liquid paper/corrector líquido</t>
  </si>
  <si>
    <t>LINTERNA DE LED</t>
  </si>
  <si>
    <t xml:space="preserve">Lonas plasticas </t>
  </si>
  <si>
    <t>Making Tape</t>
  </si>
  <si>
    <t>Marcador</t>
  </si>
  <si>
    <t xml:space="preserve">Marcador </t>
  </si>
  <si>
    <t>Macador</t>
  </si>
  <si>
    <t xml:space="preserve">Papel de construcción  </t>
  </si>
  <si>
    <t>Papel forma Contínua</t>
  </si>
  <si>
    <t>Papel forma continuo</t>
  </si>
  <si>
    <t>Papelógrafo</t>
  </si>
  <si>
    <t xml:space="preserve">Papelógrafo </t>
  </si>
  <si>
    <t>Pegamento adhesivo</t>
  </si>
  <si>
    <t>Pendaflex</t>
  </si>
  <si>
    <t xml:space="preserve">Perforadora </t>
  </si>
  <si>
    <t>Pinceles</t>
  </si>
  <si>
    <t xml:space="preserve">Pinceles pequenos </t>
  </si>
  <si>
    <t>Pizarra acrílica</t>
  </si>
  <si>
    <t>Pizzara Blanca</t>
  </si>
  <si>
    <t xml:space="preserve">Porta Clips </t>
  </si>
  <si>
    <t>Post-it</t>
  </si>
  <si>
    <t xml:space="preserve">Regla </t>
  </si>
  <si>
    <t>Resaltadores</t>
  </si>
  <si>
    <t xml:space="preserve">Resma </t>
  </si>
  <si>
    <t>Resma de papel de Opalina</t>
  </si>
  <si>
    <t>Rollo de papel bond</t>
  </si>
  <si>
    <t xml:space="preserve">Rollo </t>
  </si>
  <si>
    <t>Saca grapas</t>
  </si>
  <si>
    <t>Sacapunta</t>
  </si>
  <si>
    <t>Separadores de documentos</t>
  </si>
  <si>
    <t xml:space="preserve">Silicom </t>
  </si>
  <si>
    <t>Sobre de cartas</t>
  </si>
  <si>
    <t xml:space="preserve">Sobre de cartas </t>
  </si>
  <si>
    <t>Sobre manila</t>
  </si>
  <si>
    <t>Sujetador de hojas</t>
  </si>
  <si>
    <t>Sumadora</t>
  </si>
  <si>
    <t xml:space="preserve">Tarjetero </t>
  </si>
  <si>
    <t>Tijera</t>
  </si>
  <si>
    <t>TOTAL GENERAL RD$</t>
  </si>
  <si>
    <t>****OBSERVACION****</t>
  </si>
  <si>
    <t>Los códigos, tantos de Bienes Nacionales, NO aplican para esta relación de Materiales de Oficinas.</t>
  </si>
  <si>
    <t>00001704</t>
  </si>
  <si>
    <t>00001473</t>
  </si>
  <si>
    <t>00001736</t>
  </si>
  <si>
    <t>00000198</t>
  </si>
  <si>
    <t>00001727</t>
  </si>
  <si>
    <t>00000196</t>
  </si>
  <si>
    <t>00000197</t>
  </si>
  <si>
    <t>00001708</t>
  </si>
  <si>
    <t>00001701</t>
  </si>
  <si>
    <t>00001466</t>
  </si>
  <si>
    <t>00001474</t>
  </si>
  <si>
    <t>00001547</t>
  </si>
  <si>
    <t>00001069</t>
  </si>
  <si>
    <t>00001476</t>
  </si>
  <si>
    <t>00001405</t>
  </si>
  <si>
    <t>00001059</t>
  </si>
  <si>
    <t>00000636</t>
  </si>
  <si>
    <t>Coolant</t>
  </si>
  <si>
    <t>Crayones Pequeños</t>
  </si>
  <si>
    <t>00001060</t>
  </si>
  <si>
    <t>00001705</t>
  </si>
  <si>
    <t>00001061</t>
  </si>
  <si>
    <t>00001067</t>
  </si>
  <si>
    <t>00000750</t>
  </si>
  <si>
    <t>00001478</t>
  </si>
  <si>
    <t>00001062</t>
  </si>
  <si>
    <t>00001063</t>
  </si>
  <si>
    <t>00001480</t>
  </si>
  <si>
    <t>00001714</t>
  </si>
  <si>
    <t>00001064</t>
  </si>
  <si>
    <t>00001703</t>
  </si>
  <si>
    <t>00001204</t>
  </si>
  <si>
    <t>00001065</t>
  </si>
  <si>
    <t>00000258</t>
  </si>
  <si>
    <t>00001492</t>
  </si>
  <si>
    <t>00001477</t>
  </si>
  <si>
    <t>00001249</t>
  </si>
  <si>
    <t>00001358</t>
  </si>
  <si>
    <t>00001621</t>
  </si>
  <si>
    <t>00001361</t>
  </si>
  <si>
    <t>00001482</t>
  </si>
  <si>
    <t>00000449</t>
  </si>
  <si>
    <t>00000758</t>
  </si>
  <si>
    <t>00001484</t>
  </si>
  <si>
    <t>00001485</t>
  </si>
  <si>
    <t>00001491</t>
  </si>
  <si>
    <t>00000940</t>
  </si>
  <si>
    <t>00001706</t>
  </si>
  <si>
    <t>00001486</t>
  </si>
  <si>
    <t>00001487</t>
  </si>
  <si>
    <t>00001071</t>
  </si>
  <si>
    <t>00001707</t>
  </si>
  <si>
    <t>00000297</t>
  </si>
  <si>
    <t>00001464</t>
  </si>
  <si>
    <t>00000753</t>
  </si>
  <si>
    <t>00001206</t>
  </si>
  <si>
    <t>00001489</t>
  </si>
  <si>
    <t>00001702</t>
  </si>
  <si>
    <t>00001667</t>
  </si>
  <si>
    <t>00001668</t>
  </si>
  <si>
    <t>00001675</t>
  </si>
  <si>
    <t>00001681</t>
  </si>
  <si>
    <t>Tripodes</t>
  </si>
  <si>
    <t>TOTAL RD$</t>
  </si>
  <si>
    <t xml:space="preserve">Total General RD$:  </t>
  </si>
  <si>
    <t>TALLA</t>
  </si>
  <si>
    <t>0000898</t>
  </si>
  <si>
    <t>PANTALON</t>
  </si>
  <si>
    <t xml:space="preserve"> 312.63</t>
  </si>
  <si>
    <t>0000896</t>
  </si>
  <si>
    <t>CAMISA</t>
  </si>
  <si>
    <t>0000902</t>
  </si>
  <si>
    <t>ZAPATO F</t>
  </si>
  <si>
    <t>0000901</t>
  </si>
  <si>
    <t>ZAPATO M</t>
  </si>
  <si>
    <t>0000908</t>
  </si>
  <si>
    <t xml:space="preserve">MEDIAS </t>
  </si>
  <si>
    <t>0001512</t>
  </si>
  <si>
    <t xml:space="preserve">MOCHILA </t>
  </si>
  <si>
    <t>INICIAL</t>
  </si>
  <si>
    <t>BASICA</t>
  </si>
  <si>
    <t>RELACION DE INVENTARIO DE MATERIALES GASTABLES AL 30/04/2018</t>
  </si>
  <si>
    <t>RELACION DE INVENTARIO DE ALMACEN (TEXTILES) AL 30/04/2018</t>
  </si>
  <si>
    <t>Realizado por:   Bethania De los Santos</t>
  </si>
  <si>
    <t>Realizado por:     Bethania De los Santos</t>
  </si>
  <si>
    <t>Haina</t>
  </si>
  <si>
    <t>Alamcen II Km 22</t>
  </si>
  <si>
    <t>Almacen I KM 22</t>
  </si>
  <si>
    <t>AGO 2017-ENE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</si>
</sst>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sz val="16"/>
      <name val="Arial"/>
      <family val="2"/>
    </font>
    <font>
      <sz val="14"/>
      <name val="Arial"/>
      <family val="2"/>
    </font>
    <font>
      <sz val="12"/>
      <color theme="1"/>
      <name val="Arial"/>
      <family val="2"/>
    </font>
    <font>
      <sz val="12"/>
      <color rgb="FF00009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8" tint="-0.499984740745262"/>
      </left>
      <right style="thin">
        <color indexed="64"/>
      </right>
      <top style="thin">
        <color indexed="64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/>
      <top style="thin">
        <color theme="8" tint="-0.49998474074526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176">
    <xf numFmtId="0" fontId="0" fillId="0" borderId="0" xfId="0"/>
    <xf numFmtId="0" fontId="0" fillId="0" borderId="0" xfId="0"/>
    <xf numFmtId="0" fontId="8" fillId="3" borderId="9" xfId="3" applyNumberFormat="1" applyFont="1" applyFill="1" applyBorder="1" applyAlignment="1" applyProtection="1">
      <alignment horizontal="center" vertical="center" wrapText="1"/>
    </xf>
    <xf numFmtId="0" fontId="8" fillId="3" borderId="10" xfId="3" applyNumberFormat="1" applyFont="1" applyFill="1" applyBorder="1" applyAlignment="1" applyProtection="1">
      <alignment horizontal="center" vertical="center" wrapText="1"/>
    </xf>
    <xf numFmtId="43" fontId="8" fillId="3" borderId="10" xfId="4" applyFont="1" applyFill="1" applyBorder="1" applyAlignment="1" applyProtection="1">
      <alignment horizontal="center" vertical="center" wrapText="1"/>
    </xf>
    <xf numFmtId="43" fontId="8" fillId="3" borderId="11" xfId="4" applyFont="1" applyFill="1" applyBorder="1" applyAlignment="1" applyProtection="1">
      <alignment horizontal="center" vertical="center" wrapText="1"/>
    </xf>
    <xf numFmtId="0" fontId="3" fillId="0" borderId="12" xfId="3" applyFont="1" applyFill="1" applyBorder="1" applyAlignment="1">
      <alignment horizontal="left" vertical="center"/>
    </xf>
    <xf numFmtId="3" fontId="2" fillId="2" borderId="12" xfId="3" applyNumberFormat="1" applyFont="1" applyFill="1" applyBorder="1" applyAlignment="1">
      <alignment horizontal="center" vertical="center"/>
    </xf>
    <xf numFmtId="49" fontId="2" fillId="2" borderId="12" xfId="3" applyNumberFormat="1" applyFont="1" applyFill="1" applyBorder="1" applyAlignment="1">
      <alignment horizontal="center" vertical="center"/>
    </xf>
    <xf numFmtId="43" fontId="2" fillId="2" borderId="12" xfId="4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vertical="center"/>
    </xf>
    <xf numFmtId="43" fontId="8" fillId="3" borderId="13" xfId="4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49" fontId="5" fillId="0" borderId="0" xfId="1" applyNumberFormat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Border="1" applyAlignment="1">
      <alignment vertical="center" wrapText="1"/>
    </xf>
    <xf numFmtId="2" fontId="5" fillId="0" borderId="0" xfId="2" applyNumberFormat="1" applyFont="1" applyBorder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49" fontId="10" fillId="0" borderId="0" xfId="1" applyNumberFormat="1" applyFont="1" applyAlignment="1">
      <alignment vertical="center" wrapText="1"/>
    </xf>
    <xf numFmtId="0" fontId="0" fillId="0" borderId="0" xfId="0"/>
    <xf numFmtId="49" fontId="6" fillId="2" borderId="0" xfId="3" applyNumberFormat="1" applyFont="1" applyFill="1" applyBorder="1" applyAlignment="1">
      <alignment horizontal="center" vertical="center"/>
    </xf>
    <xf numFmtId="0" fontId="0" fillId="0" borderId="0" xfId="0" applyBorder="1"/>
    <xf numFmtId="164" fontId="12" fillId="0" borderId="0" xfId="3" applyNumberFormat="1" applyFont="1" applyBorder="1" applyAlignment="1">
      <alignment horizontal="center" vertical="center" wrapText="1"/>
    </xf>
    <xf numFmtId="49" fontId="6" fillId="2" borderId="0" xfId="3" applyNumberFormat="1" applyFont="1" applyFill="1" applyBorder="1" applyAlignment="1">
      <alignment horizontal="center"/>
    </xf>
    <xf numFmtId="43" fontId="0" fillId="0" borderId="0" xfId="0" applyNumberFormat="1"/>
    <xf numFmtId="0" fontId="3" fillId="0" borderId="18" xfId="0" applyFont="1" applyFill="1" applyBorder="1" applyAlignment="1">
      <alignment vertical="center"/>
    </xf>
    <xf numFmtId="37" fontId="2" fillId="2" borderId="17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43" fontId="5" fillId="0" borderId="0" xfId="2" applyFont="1" applyBorder="1" applyAlignment="1">
      <alignment horizontal="center" vertical="top" wrapText="1"/>
    </xf>
    <xf numFmtId="0" fontId="17" fillId="0" borderId="0" xfId="0" applyFont="1" applyAlignment="1">
      <alignment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3" fontId="5" fillId="0" borderId="0" xfId="2" applyFont="1" applyBorder="1" applyAlignment="1">
      <alignment horizontal="center" vertical="center" wrapText="1"/>
    </xf>
    <xf numFmtId="37" fontId="2" fillId="2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37" fontId="2" fillId="2" borderId="26" xfId="0" applyNumberFormat="1" applyFont="1" applyFill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49" fontId="17" fillId="0" borderId="28" xfId="0" applyNumberFormat="1" applyFont="1" applyBorder="1" applyAlignment="1">
      <alignment horizontal="center" vertical="center"/>
    </xf>
    <xf numFmtId="49" fontId="16" fillId="2" borderId="12" xfId="3" applyNumberFormat="1" applyFont="1" applyFill="1" applyBorder="1" applyAlignment="1">
      <alignment horizontal="center" vertical="center"/>
    </xf>
    <xf numFmtId="49" fontId="16" fillId="0" borderId="12" xfId="3" applyNumberFormat="1" applyFont="1" applyBorder="1" applyAlignment="1">
      <alignment horizontal="center" vertical="center" wrapText="1"/>
    </xf>
    <xf numFmtId="49" fontId="16" fillId="4" borderId="12" xfId="3" applyNumberFormat="1" applyFont="1" applyFill="1" applyBorder="1" applyAlignment="1">
      <alignment horizontal="center" vertical="center" wrapText="1"/>
    </xf>
    <xf numFmtId="49" fontId="16" fillId="2" borderId="12" xfId="3" applyNumberFormat="1" applyFont="1" applyFill="1" applyBorder="1" applyAlignment="1">
      <alignment horizontal="center"/>
    </xf>
    <xf numFmtId="49" fontId="18" fillId="2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vertical="center"/>
    </xf>
    <xf numFmtId="37" fontId="2" fillId="2" borderId="12" xfId="0" applyNumberFormat="1" applyFont="1" applyFill="1" applyBorder="1" applyAlignment="1">
      <alignment horizontal="center" vertical="center"/>
    </xf>
    <xf numFmtId="43" fontId="13" fillId="2" borderId="12" xfId="5" applyFont="1" applyFill="1" applyBorder="1" applyAlignment="1">
      <alignment horizontal="center"/>
    </xf>
    <xf numFmtId="0" fontId="8" fillId="2" borderId="0" xfId="0" applyFont="1" applyFill="1" applyBorder="1" applyAlignment="1">
      <alignment vertical="center"/>
    </xf>
    <xf numFmtId="4" fontId="0" fillId="0" borderId="0" xfId="0" applyNumberFormat="1"/>
    <xf numFmtId="0" fontId="7" fillId="0" borderId="0" xfId="6" applyFont="1" applyBorder="1" applyAlignment="1">
      <alignment wrapText="1"/>
    </xf>
    <xf numFmtId="0" fontId="20" fillId="0" borderId="0" xfId="6" applyFont="1" applyAlignment="1">
      <alignment vertical="center" wrapText="1"/>
    </xf>
    <xf numFmtId="0" fontId="7" fillId="0" borderId="0" xfId="6" applyFont="1" applyBorder="1" applyAlignment="1">
      <alignment vertical="center" wrapText="1"/>
    </xf>
    <xf numFmtId="0" fontId="20" fillId="0" borderId="0" xfId="6" applyFont="1" applyAlignment="1">
      <alignment vertical="top" wrapText="1"/>
    </xf>
    <xf numFmtId="0" fontId="10" fillId="3" borderId="9" xfId="6" applyNumberFormat="1" applyFont="1" applyFill="1" applyBorder="1" applyAlignment="1" applyProtection="1">
      <alignment horizontal="center" vertical="center" wrapText="1"/>
    </xf>
    <xf numFmtId="0" fontId="10" fillId="3" borderId="10" xfId="6" applyNumberFormat="1" applyFont="1" applyFill="1" applyBorder="1" applyAlignment="1" applyProtection="1">
      <alignment horizontal="center" vertical="center" wrapText="1"/>
    </xf>
    <xf numFmtId="43" fontId="10" fillId="3" borderId="10" xfId="2" applyFont="1" applyFill="1" applyBorder="1" applyAlignment="1" applyProtection="1">
      <alignment horizontal="center" vertical="center" wrapText="1"/>
    </xf>
    <xf numFmtId="43" fontId="10" fillId="3" borderId="11" xfId="2" applyFont="1" applyFill="1" applyBorder="1" applyAlignment="1" applyProtection="1">
      <alignment horizontal="center" vertical="center" wrapText="1"/>
    </xf>
    <xf numFmtId="0" fontId="17" fillId="0" borderId="0" xfId="6" applyFont="1" applyAlignment="1">
      <alignment vertical="center" wrapText="1"/>
    </xf>
    <xf numFmtId="49" fontId="11" fillId="0" borderId="12" xfId="6" applyNumberFormat="1" applyFont="1" applyBorder="1" applyAlignment="1">
      <alignment horizontal="center" vertical="center" wrapText="1"/>
    </xf>
    <xf numFmtId="164" fontId="11" fillId="0" borderId="12" xfId="6" applyNumberFormat="1" applyFont="1" applyBorder="1" applyAlignment="1">
      <alignment horizontal="center" vertical="center" wrapText="1"/>
    </xf>
    <xf numFmtId="0" fontId="21" fillId="0" borderId="12" xfId="6" applyFont="1" applyFill="1" applyBorder="1"/>
    <xf numFmtId="0" fontId="21" fillId="0" borderId="12" xfId="6" applyFont="1" applyFill="1" applyBorder="1" applyAlignment="1">
      <alignment horizontal="center"/>
    </xf>
    <xf numFmtId="3" fontId="11" fillId="0" borderId="12" xfId="6" applyNumberFormat="1" applyFont="1" applyFill="1" applyBorder="1" applyAlignment="1">
      <alignment horizontal="center"/>
    </xf>
    <xf numFmtId="49" fontId="22" fillId="0" borderId="12" xfId="6" applyNumberFormat="1" applyFont="1" applyBorder="1" applyAlignment="1">
      <alignment horizontal="center"/>
    </xf>
    <xf numFmtId="0" fontId="5" fillId="0" borderId="0" xfId="6" applyFont="1" applyAlignment="1">
      <alignment vertical="center" wrapText="1"/>
    </xf>
    <xf numFmtId="0" fontId="22" fillId="0" borderId="12" xfId="6" applyFont="1" applyBorder="1" applyAlignment="1">
      <alignment horizontal="center"/>
    </xf>
    <xf numFmtId="0" fontId="22" fillId="0" borderId="12" xfId="6" applyFont="1" applyFill="1" applyBorder="1" applyAlignment="1">
      <alignment horizontal="center"/>
    </xf>
    <xf numFmtId="49" fontId="11" fillId="0" borderId="23" xfId="6" applyNumberFormat="1" applyFont="1" applyBorder="1" applyAlignment="1">
      <alignment horizontal="center" vertical="center" wrapText="1"/>
    </xf>
    <xf numFmtId="0" fontId="21" fillId="0" borderId="23" xfId="6" applyFont="1" applyFill="1" applyBorder="1"/>
    <xf numFmtId="0" fontId="21" fillId="0" borderId="23" xfId="6" applyFont="1" applyFill="1" applyBorder="1" applyAlignment="1">
      <alignment horizontal="center"/>
    </xf>
    <xf numFmtId="0" fontId="22" fillId="0" borderId="23" xfId="6" applyFont="1" applyBorder="1" applyAlignment="1">
      <alignment horizontal="center"/>
    </xf>
    <xf numFmtId="2" fontId="22" fillId="0" borderId="12" xfId="6" applyNumberFormat="1" applyFont="1" applyBorder="1" applyAlignment="1">
      <alignment horizontal="center"/>
    </xf>
    <xf numFmtId="49" fontId="11" fillId="0" borderId="20" xfId="6" applyNumberFormat="1" applyFont="1" applyBorder="1" applyAlignment="1">
      <alignment horizontal="center" vertical="center" wrapText="1"/>
    </xf>
    <xf numFmtId="0" fontId="21" fillId="0" borderId="20" xfId="6" applyFont="1" applyFill="1" applyBorder="1"/>
    <xf numFmtId="0" fontId="21" fillId="0" borderId="20" xfId="6" applyFont="1" applyFill="1" applyBorder="1" applyAlignment="1">
      <alignment horizontal="center"/>
    </xf>
    <xf numFmtId="2" fontId="22" fillId="0" borderId="20" xfId="6" applyNumberFormat="1" applyFont="1" applyBorder="1" applyAlignment="1">
      <alignment horizontal="center"/>
    </xf>
    <xf numFmtId="2" fontId="22" fillId="0" borderId="12" xfId="6" applyNumberFormat="1" applyFont="1" applyFill="1" applyBorder="1" applyAlignment="1">
      <alignment horizontal="center"/>
    </xf>
    <xf numFmtId="39" fontId="5" fillId="0" borderId="0" xfId="6" applyNumberFormat="1" applyFont="1" applyAlignment="1">
      <alignment vertical="center" wrapText="1"/>
    </xf>
    <xf numFmtId="0" fontId="5" fillId="0" borderId="0" xfId="6" applyFont="1" applyAlignment="1">
      <alignment horizontal="center" vertical="center" wrapText="1"/>
    </xf>
    <xf numFmtId="39" fontId="5" fillId="0" borderId="0" xfId="6" applyNumberFormat="1" applyFont="1" applyAlignment="1">
      <alignment horizontal="center" vertical="center" wrapText="1"/>
    </xf>
    <xf numFmtId="4" fontId="5" fillId="0" borderId="0" xfId="6" applyNumberFormat="1" applyFont="1" applyAlignment="1">
      <alignment horizontal="center" vertical="center" wrapText="1"/>
    </xf>
    <xf numFmtId="0" fontId="11" fillId="0" borderId="0" xfId="6" applyFont="1" applyAlignment="1">
      <alignment vertical="center" wrapText="1"/>
    </xf>
    <xf numFmtId="0" fontId="11" fillId="0" borderId="0" xfId="6" applyFont="1" applyAlignment="1">
      <alignment horizontal="center" vertical="center" wrapText="1"/>
    </xf>
    <xf numFmtId="0" fontId="11" fillId="0" borderId="0" xfId="6" applyFont="1" applyBorder="1" applyAlignment="1">
      <alignment vertical="center" wrapText="1"/>
    </xf>
    <xf numFmtId="43" fontId="11" fillId="0" borderId="0" xfId="2" applyFont="1" applyBorder="1" applyAlignment="1">
      <alignment horizontal="center" vertical="center" wrapText="1"/>
    </xf>
    <xf numFmtId="0" fontId="5" fillId="0" borderId="0" xfId="6" applyFont="1" applyBorder="1" applyAlignment="1">
      <alignment vertical="center" wrapText="1"/>
    </xf>
    <xf numFmtId="0" fontId="4" fillId="0" borderId="0" xfId="1"/>
    <xf numFmtId="2" fontId="14" fillId="2" borderId="0" xfId="0" applyNumberFormat="1" applyFont="1" applyFill="1" applyBorder="1" applyAlignment="1">
      <alignment vertical="center"/>
    </xf>
    <xf numFmtId="0" fontId="8" fillId="3" borderId="27" xfId="0" applyNumberFormat="1" applyFont="1" applyFill="1" applyBorder="1" applyAlignment="1" applyProtection="1">
      <alignment horizontal="center" vertical="center" wrapText="1"/>
    </xf>
    <xf numFmtId="0" fontId="8" fillId="3" borderId="21" xfId="0" applyNumberFormat="1" applyFont="1" applyFill="1" applyBorder="1" applyAlignment="1" applyProtection="1">
      <alignment horizontal="center" vertical="center" wrapText="1"/>
    </xf>
    <xf numFmtId="0" fontId="8" fillId="3" borderId="10" xfId="0" applyNumberFormat="1" applyFont="1" applyFill="1" applyBorder="1" applyAlignment="1" applyProtection="1">
      <alignment horizontal="center" vertical="center" wrapText="1"/>
    </xf>
    <xf numFmtId="43" fontId="8" fillId="3" borderId="21" xfId="2" applyFont="1" applyFill="1" applyBorder="1" applyAlignment="1" applyProtection="1">
      <alignment horizontal="center" vertical="center" wrapText="1"/>
    </xf>
    <xf numFmtId="49" fontId="17" fillId="0" borderId="28" xfId="0" applyNumberFormat="1" applyFont="1" applyBorder="1" applyAlignment="1">
      <alignment horizontal="center" vertical="center" wrapText="1"/>
    </xf>
    <xf numFmtId="49" fontId="17" fillId="4" borderId="28" xfId="0" applyNumberFormat="1" applyFont="1" applyFill="1" applyBorder="1" applyAlignment="1">
      <alignment horizontal="center" vertical="center" wrapText="1"/>
    </xf>
    <xf numFmtId="43" fontId="8" fillId="3" borderId="34" xfId="2" applyFont="1" applyFill="1" applyBorder="1" applyAlignment="1" applyProtection="1">
      <alignment horizontal="center" vertical="center" wrapText="1"/>
    </xf>
    <xf numFmtId="43" fontId="13" fillId="2" borderId="35" xfId="5" applyFont="1" applyFill="1" applyBorder="1" applyAlignment="1">
      <alignment horizontal="center"/>
    </xf>
    <xf numFmtId="43" fontId="13" fillId="2" borderId="36" xfId="5" applyFont="1" applyFill="1" applyBorder="1" applyAlignment="1">
      <alignment horizontal="center"/>
    </xf>
    <xf numFmtId="43" fontId="13" fillId="2" borderId="20" xfId="5" applyFont="1" applyFill="1" applyBorder="1" applyAlignment="1"/>
    <xf numFmtId="43" fontId="13" fillId="2" borderId="12" xfId="5" applyFont="1" applyFill="1" applyBorder="1" applyAlignment="1"/>
    <xf numFmtId="43" fontId="13" fillId="4" borderId="12" xfId="5" applyFont="1" applyFill="1" applyBorder="1" applyAlignment="1">
      <alignment horizontal="center"/>
    </xf>
    <xf numFmtId="43" fontId="2" fillId="2" borderId="12" xfId="5" applyFont="1" applyFill="1" applyBorder="1" applyAlignment="1">
      <alignment horizontal="center" vertical="center"/>
    </xf>
    <xf numFmtId="49" fontId="17" fillId="0" borderId="29" xfId="0" applyNumberFormat="1" applyFont="1" applyBorder="1" applyAlignment="1">
      <alignment horizontal="center" vertical="center"/>
    </xf>
    <xf numFmtId="43" fontId="13" fillId="2" borderId="23" xfId="5" applyFont="1" applyFill="1" applyBorder="1" applyAlignment="1">
      <alignment horizontal="center"/>
    </xf>
    <xf numFmtId="43" fontId="13" fillId="2" borderId="37" xfId="5" applyFont="1" applyFill="1" applyBorder="1" applyAlignment="1">
      <alignment horizontal="center"/>
    </xf>
    <xf numFmtId="43" fontId="8" fillId="3" borderId="32" xfId="2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/>
    </xf>
    <xf numFmtId="37" fontId="2" fillId="2" borderId="23" xfId="0" applyNumberFormat="1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vertical="center"/>
    </xf>
    <xf numFmtId="0" fontId="8" fillId="3" borderId="31" xfId="0" applyFont="1" applyFill="1" applyBorder="1" applyAlignment="1">
      <alignment vertical="center"/>
    </xf>
    <xf numFmtId="43" fontId="10" fillId="3" borderId="32" xfId="0" applyNumberFormat="1" applyFont="1" applyFill="1" applyBorder="1" applyAlignment="1">
      <alignment vertical="center"/>
    </xf>
    <xf numFmtId="49" fontId="17" fillId="4" borderId="12" xfId="0" applyNumberFormat="1" applyFont="1" applyFill="1" applyBorder="1" applyAlignment="1">
      <alignment horizontal="center" vertical="center"/>
    </xf>
    <xf numFmtId="49" fontId="18" fillId="2" borderId="23" xfId="0" applyNumberFormat="1" applyFont="1" applyFill="1" applyBorder="1" applyAlignment="1">
      <alignment horizontal="center"/>
    </xf>
    <xf numFmtId="0" fontId="5" fillId="0" borderId="0" xfId="6" applyFont="1" applyAlignment="1">
      <alignment horizontal="center" vertical="center"/>
    </xf>
    <xf numFmtId="0" fontId="5" fillId="0" borderId="0" xfId="6" applyFont="1" applyBorder="1" applyAlignment="1">
      <alignment horizontal="center" vertical="center" wrapText="1"/>
    </xf>
    <xf numFmtId="0" fontId="19" fillId="0" borderId="0" xfId="6" applyFont="1" applyAlignment="1">
      <alignment horizontal="left" vertical="center"/>
    </xf>
    <xf numFmtId="3" fontId="10" fillId="3" borderId="10" xfId="6" applyNumberFormat="1" applyFont="1" applyFill="1" applyBorder="1" applyAlignment="1" applyProtection="1">
      <alignment horizontal="center" vertical="center" wrapText="1"/>
    </xf>
    <xf numFmtId="3" fontId="21" fillId="0" borderId="12" xfId="6" applyNumberFormat="1" applyFont="1" applyFill="1" applyBorder="1" applyAlignment="1">
      <alignment horizontal="center"/>
    </xf>
    <xf numFmtId="3" fontId="21" fillId="0" borderId="23" xfId="6" applyNumberFormat="1" applyFont="1" applyFill="1" applyBorder="1" applyAlignment="1">
      <alignment horizontal="center"/>
    </xf>
    <xf numFmtId="3" fontId="21" fillId="0" borderId="20" xfId="6" applyNumberFormat="1" applyFont="1" applyFill="1" applyBorder="1" applyAlignment="1">
      <alignment horizontal="center"/>
    </xf>
    <xf numFmtId="3" fontId="11" fillId="0" borderId="0" xfId="6" applyNumberFormat="1" applyFont="1" applyBorder="1" applyAlignment="1">
      <alignment vertical="center" wrapText="1"/>
    </xf>
    <xf numFmtId="3" fontId="11" fillId="0" borderId="0" xfId="6" applyNumberFormat="1" applyFont="1" applyAlignment="1">
      <alignment vertical="center" wrapText="1"/>
    </xf>
    <xf numFmtId="3" fontId="5" fillId="0" borderId="0" xfId="6" applyNumberFormat="1" applyFont="1" applyAlignment="1">
      <alignment vertical="center" wrapText="1"/>
    </xf>
    <xf numFmtId="3" fontId="4" fillId="0" borderId="0" xfId="1" applyNumberFormat="1"/>
    <xf numFmtId="3" fontId="5" fillId="0" borderId="0" xfId="6" applyNumberFormat="1" applyFont="1" applyBorder="1" applyAlignment="1">
      <alignment vertical="center" wrapText="1"/>
    </xf>
    <xf numFmtId="43" fontId="11" fillId="0" borderId="0" xfId="6" applyNumberFormat="1" applyFont="1" applyAlignment="1">
      <alignment vertical="center" wrapText="1"/>
    </xf>
    <xf numFmtId="4" fontId="5" fillId="0" borderId="0" xfId="6" applyNumberFormat="1" applyFont="1" applyAlignment="1">
      <alignment vertical="center" wrapText="1"/>
    </xf>
    <xf numFmtId="49" fontId="11" fillId="2" borderId="12" xfId="6" applyNumberFormat="1" applyFont="1" applyFill="1" applyBorder="1" applyAlignment="1">
      <alignment horizontal="center" vertical="center" wrapText="1"/>
    </xf>
    <xf numFmtId="0" fontId="21" fillId="2" borderId="12" xfId="6" applyFont="1" applyFill="1" applyBorder="1"/>
    <xf numFmtId="0" fontId="21" fillId="2" borderId="12" xfId="6" applyFont="1" applyFill="1" applyBorder="1" applyAlignment="1">
      <alignment horizontal="center"/>
    </xf>
    <xf numFmtId="3" fontId="21" fillId="2" borderId="12" xfId="6" applyNumberFormat="1" applyFont="1" applyFill="1" applyBorder="1" applyAlignment="1">
      <alignment horizontal="center"/>
    </xf>
    <xf numFmtId="3" fontId="11" fillId="2" borderId="12" xfId="6" applyNumberFormat="1" applyFont="1" applyFill="1" applyBorder="1" applyAlignment="1">
      <alignment horizontal="center"/>
    </xf>
    <xf numFmtId="0" fontId="22" fillId="2" borderId="12" xfId="6" applyFont="1" applyFill="1" applyBorder="1" applyAlignment="1">
      <alignment horizontal="center"/>
    </xf>
    <xf numFmtId="2" fontId="22" fillId="2" borderId="12" xfId="6" applyNumberFormat="1" applyFont="1" applyFill="1" applyBorder="1" applyAlignment="1">
      <alignment horizontal="center"/>
    </xf>
    <xf numFmtId="4" fontId="11" fillId="0" borderId="38" xfId="6" applyNumberFormat="1" applyFont="1" applyBorder="1" applyAlignment="1">
      <alignment horizontal="center"/>
    </xf>
    <xf numFmtId="43" fontId="7" fillId="3" borderId="39" xfId="2" applyFont="1" applyFill="1" applyBorder="1" applyAlignment="1">
      <alignment horizontal="center" vertical="center" wrapText="1"/>
    </xf>
    <xf numFmtId="4" fontId="11" fillId="0" borderId="0" xfId="6" applyNumberFormat="1" applyFont="1" applyBorder="1" applyAlignment="1">
      <alignment horizontal="center"/>
    </xf>
    <xf numFmtId="39" fontId="11" fillId="0" borderId="0" xfId="2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43" fontId="7" fillId="2" borderId="0" xfId="2" applyFont="1" applyFill="1" applyBorder="1" applyAlignment="1">
      <alignment horizontal="center" vertical="center" wrapText="1"/>
    </xf>
    <xf numFmtId="49" fontId="11" fillId="0" borderId="0" xfId="1" applyNumberFormat="1" applyFont="1" applyAlignment="1">
      <alignment horizontal="left" vertical="center" wrapText="1"/>
    </xf>
    <xf numFmtId="0" fontId="7" fillId="0" borderId="1" xfId="3" applyFont="1" applyBorder="1" applyAlignment="1">
      <alignment horizontal="center" wrapText="1"/>
    </xf>
    <xf numFmtId="0" fontId="7" fillId="0" borderId="2" xfId="3" applyFont="1" applyBorder="1" applyAlignment="1">
      <alignment horizontal="center" wrapText="1"/>
    </xf>
    <xf numFmtId="0" fontId="7" fillId="0" borderId="3" xfId="3" applyFont="1" applyBorder="1" applyAlignment="1">
      <alignment horizontal="center" wrapText="1"/>
    </xf>
    <xf numFmtId="0" fontId="7" fillId="0" borderId="4" xfId="3" applyFont="1" applyBorder="1" applyAlignment="1">
      <alignment horizontal="center" vertical="center" wrapText="1"/>
    </xf>
    <xf numFmtId="0" fontId="7" fillId="0" borderId="0" xfId="3" applyFont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 wrapText="1"/>
    </xf>
    <xf numFmtId="0" fontId="7" fillId="0" borderId="7" xfId="3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 vertical="center" wrapText="1"/>
    </xf>
    <xf numFmtId="0" fontId="9" fillId="3" borderId="14" xfId="3" applyFont="1" applyFill="1" applyBorder="1" applyAlignment="1">
      <alignment horizontal="center" vertical="center" wrapText="1"/>
    </xf>
    <xf numFmtId="0" fontId="9" fillId="3" borderId="15" xfId="3" applyFont="1" applyFill="1" applyBorder="1" applyAlignment="1">
      <alignment horizontal="center" vertical="center" wrapText="1"/>
    </xf>
    <xf numFmtId="0" fontId="9" fillId="3" borderId="16" xfId="3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0" fillId="0" borderId="0" xfId="0" applyAlignment="1">
      <alignment horizontal="center"/>
    </xf>
    <xf numFmtId="0" fontId="8" fillId="3" borderId="3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6" fillId="2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7" fillId="0" borderId="1" xfId="6" applyFont="1" applyBorder="1" applyAlignment="1">
      <alignment horizontal="center" wrapText="1"/>
    </xf>
    <xf numFmtId="0" fontId="7" fillId="0" borderId="2" xfId="6" applyFont="1" applyBorder="1" applyAlignment="1">
      <alignment horizontal="center" wrapText="1"/>
    </xf>
    <xf numFmtId="0" fontId="7" fillId="0" borderId="3" xfId="6" applyFont="1" applyBorder="1" applyAlignment="1">
      <alignment horizontal="center" wrapText="1"/>
    </xf>
    <xf numFmtId="0" fontId="7" fillId="0" borderId="6" xfId="6" applyFont="1" applyBorder="1" applyAlignment="1">
      <alignment horizontal="center" vertical="center" wrapText="1"/>
    </xf>
    <xf numFmtId="0" fontId="7" fillId="0" borderId="7" xfId="6" applyFont="1" applyBorder="1" applyAlignment="1">
      <alignment horizontal="center" vertical="center" wrapText="1"/>
    </xf>
    <xf numFmtId="0" fontId="7" fillId="0" borderId="8" xfId="6" applyFont="1" applyBorder="1" applyAlignment="1">
      <alignment horizontal="center" vertical="center" wrapText="1"/>
    </xf>
    <xf numFmtId="0" fontId="7" fillId="3" borderId="33" xfId="6" applyFont="1" applyFill="1" applyBorder="1" applyAlignment="1">
      <alignment horizontal="center" vertical="center" wrapText="1"/>
    </xf>
    <xf numFmtId="0" fontId="7" fillId="3" borderId="22" xfId="6" applyFont="1" applyFill="1" applyBorder="1" applyAlignment="1">
      <alignment horizontal="center" vertical="center" wrapText="1"/>
    </xf>
  </cellXfs>
  <cellStyles count="7">
    <cellStyle name="Comma" xfId="5" builtinId="3"/>
    <cellStyle name="Comma 2" xfId="2"/>
    <cellStyle name="Comma 3" xfId="4"/>
    <cellStyle name="Normal" xfId="0" builtinId="0"/>
    <cellStyle name="Normal 2" xfId="1"/>
    <cellStyle name="Normal 5" xfId="6"/>
    <cellStyle name="Norma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CION%20Y%20FINANZAS/FORMULARIOS%20PARA%20LA%20PAGINA/Inventario%20de%20alamacen/Inventario%20Entrada%20y%20Salida%20de%20Almac&#233;n%20de%20Material%20Gastable%20DIGEIG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ari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Hoja1"/>
    </sheetNames>
    <sheetDataSet>
      <sheetData sheetId="0" refreshError="1">
        <row r="2">
          <cell r="A2" t="str">
            <v>DIRECCION GENERAL DE ETICA E INTEGRIDAD GUBERNAMENTAL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154"/>
  <sheetViews>
    <sheetView workbookViewId="0">
      <selection activeCell="K17" sqref="K17"/>
    </sheetView>
  </sheetViews>
  <sheetFormatPr defaultRowHeight="15" x14ac:dyDescent="0.25"/>
  <cols>
    <col min="1" max="1" width="13.42578125" customWidth="1"/>
    <col min="2" max="2" width="15.140625" customWidth="1"/>
    <col min="3" max="3" width="27.28515625" customWidth="1"/>
    <col min="4" max="4" width="14.28515625" customWidth="1"/>
    <col min="5" max="5" width="16.42578125" customWidth="1"/>
    <col min="6" max="6" width="15.140625" customWidth="1"/>
    <col min="8" max="8" width="16.85546875" customWidth="1"/>
    <col min="10" max="10" width="9.5703125" bestFit="1" customWidth="1"/>
    <col min="11" max="11" width="14.7109375" customWidth="1"/>
    <col min="12" max="12" width="11.7109375" bestFit="1" customWidth="1"/>
  </cols>
  <sheetData>
    <row r="1" spans="1:10" ht="18" x14ac:dyDescent="0.25">
      <c r="A1" s="146" t="s">
        <v>57</v>
      </c>
      <c r="B1" s="147"/>
      <c r="C1" s="147"/>
      <c r="D1" s="147"/>
      <c r="E1" s="147"/>
      <c r="F1" s="148"/>
    </row>
    <row r="2" spans="1:10" x14ac:dyDescent="0.25">
      <c r="A2" s="149" t="s">
        <v>113</v>
      </c>
      <c r="B2" s="150"/>
      <c r="C2" s="150"/>
      <c r="D2" s="150"/>
      <c r="E2" s="150"/>
      <c r="F2" s="151"/>
    </row>
    <row r="3" spans="1:10" ht="15.75" thickBot="1" x14ac:dyDescent="0.3">
      <c r="A3" s="152"/>
      <c r="B3" s="153"/>
      <c r="C3" s="153"/>
      <c r="D3" s="153"/>
      <c r="E3" s="153"/>
      <c r="F3" s="154"/>
    </row>
    <row r="4" spans="1:10" ht="60" x14ac:dyDescent="0.25">
      <c r="A4" s="2" t="s">
        <v>58</v>
      </c>
      <c r="B4" s="3" t="s">
        <v>59</v>
      </c>
      <c r="C4" s="3" t="s">
        <v>60</v>
      </c>
      <c r="D4" s="3" t="s">
        <v>61</v>
      </c>
      <c r="E4" s="4" t="s">
        <v>62</v>
      </c>
      <c r="F4" s="5" t="s">
        <v>63</v>
      </c>
    </row>
    <row r="5" spans="1:10" ht="18.75" x14ac:dyDescent="0.25">
      <c r="A5" s="45" t="s">
        <v>46</v>
      </c>
      <c r="B5" s="35">
        <v>43099</v>
      </c>
      <c r="C5" s="6" t="s">
        <v>0</v>
      </c>
      <c r="D5" s="7">
        <f>44+44</f>
        <v>88</v>
      </c>
      <c r="E5" s="8" t="s">
        <v>1</v>
      </c>
      <c r="F5" s="9">
        <f>+D5*E5</f>
        <v>10384</v>
      </c>
    </row>
    <row r="6" spans="1:10" ht="18.75" x14ac:dyDescent="0.25">
      <c r="A6" s="45" t="s">
        <v>46</v>
      </c>
      <c r="B6" s="35">
        <v>43099</v>
      </c>
      <c r="C6" s="10" t="s">
        <v>0</v>
      </c>
      <c r="D6" s="7">
        <f>20+20</f>
        <v>40</v>
      </c>
      <c r="E6" s="8" t="s">
        <v>2</v>
      </c>
      <c r="F6" s="9">
        <f t="shared" ref="F6:F29" si="0">+D6*E6</f>
        <v>2160</v>
      </c>
    </row>
    <row r="7" spans="1:10" ht="18.75" x14ac:dyDescent="0.25">
      <c r="A7" s="45" t="s">
        <v>42</v>
      </c>
      <c r="B7" s="35">
        <v>43099</v>
      </c>
      <c r="C7" s="6" t="s">
        <v>3</v>
      </c>
      <c r="D7" s="7">
        <f>119+15</f>
        <v>134</v>
      </c>
      <c r="E7" s="8" t="s">
        <v>4</v>
      </c>
      <c r="F7" s="9">
        <f t="shared" si="0"/>
        <v>6679.9000000000005</v>
      </c>
      <c r="J7" s="26"/>
    </row>
    <row r="8" spans="1:10" ht="18.75" x14ac:dyDescent="0.25">
      <c r="A8" s="45" t="s">
        <v>107</v>
      </c>
      <c r="B8" s="35">
        <v>43099</v>
      </c>
      <c r="C8" s="6" t="s">
        <v>5</v>
      </c>
      <c r="D8" s="7">
        <f>54+54</f>
        <v>108</v>
      </c>
      <c r="E8" s="8" t="s">
        <v>6</v>
      </c>
      <c r="F8" s="9">
        <f t="shared" si="0"/>
        <v>12852</v>
      </c>
    </row>
    <row r="9" spans="1:10" ht="18.75" x14ac:dyDescent="0.25">
      <c r="A9" s="45" t="s">
        <v>44</v>
      </c>
      <c r="B9" s="35">
        <v>43099</v>
      </c>
      <c r="C9" s="10" t="s">
        <v>65</v>
      </c>
      <c r="D9" s="7">
        <v>3</v>
      </c>
      <c r="E9" s="8"/>
      <c r="F9" s="9">
        <f t="shared" si="0"/>
        <v>0</v>
      </c>
    </row>
    <row r="10" spans="1:10" ht="18.75" x14ac:dyDescent="0.25">
      <c r="A10" s="45" t="s">
        <v>44</v>
      </c>
      <c r="B10" s="35">
        <v>43099</v>
      </c>
      <c r="C10" s="6" t="s">
        <v>65</v>
      </c>
      <c r="D10" s="7">
        <v>119</v>
      </c>
      <c r="E10" s="8"/>
      <c r="F10" s="9">
        <f t="shared" si="0"/>
        <v>0</v>
      </c>
    </row>
    <row r="11" spans="1:10" ht="18.75" x14ac:dyDescent="0.25">
      <c r="A11" s="45" t="s">
        <v>44</v>
      </c>
      <c r="B11" s="35">
        <v>43099</v>
      </c>
      <c r="C11" s="10" t="s">
        <v>65</v>
      </c>
      <c r="D11" s="7">
        <v>3</v>
      </c>
      <c r="E11" s="8"/>
      <c r="F11" s="9">
        <f t="shared" si="0"/>
        <v>0</v>
      </c>
    </row>
    <row r="12" spans="1:10" ht="18.75" x14ac:dyDescent="0.25">
      <c r="A12" s="45" t="s">
        <v>44</v>
      </c>
      <c r="B12" s="35">
        <v>43099</v>
      </c>
      <c r="C12" s="6" t="s">
        <v>43</v>
      </c>
      <c r="D12" s="7">
        <f>2+2</f>
        <v>4</v>
      </c>
      <c r="E12" s="8" t="s">
        <v>7</v>
      </c>
      <c r="F12" s="9">
        <f t="shared" si="0"/>
        <v>1344.08</v>
      </c>
    </row>
    <row r="13" spans="1:10" ht="18.75" x14ac:dyDescent="0.25">
      <c r="A13" s="46" t="s">
        <v>48</v>
      </c>
      <c r="B13" s="35">
        <v>43099</v>
      </c>
      <c r="C13" s="6" t="s">
        <v>45</v>
      </c>
      <c r="D13" s="7">
        <f>4+2</f>
        <v>6</v>
      </c>
      <c r="E13" s="8"/>
      <c r="F13" s="9">
        <f t="shared" si="0"/>
        <v>0</v>
      </c>
    </row>
    <row r="14" spans="1:10" ht="18.75" x14ac:dyDescent="0.25">
      <c r="A14" s="46" t="s">
        <v>47</v>
      </c>
      <c r="B14" s="35">
        <v>43099</v>
      </c>
      <c r="C14" s="10" t="s">
        <v>8</v>
      </c>
      <c r="D14" s="7">
        <f>519+519</f>
        <v>1038</v>
      </c>
      <c r="E14" s="8" t="s">
        <v>9</v>
      </c>
      <c r="F14" s="9">
        <f t="shared" si="0"/>
        <v>197209.62</v>
      </c>
    </row>
    <row r="15" spans="1:10" ht="18.75" x14ac:dyDescent="0.25">
      <c r="A15" s="45" t="s">
        <v>112</v>
      </c>
      <c r="B15" s="35">
        <v>43099</v>
      </c>
      <c r="C15" s="10" t="s">
        <v>66</v>
      </c>
      <c r="D15" s="7">
        <v>284</v>
      </c>
      <c r="E15" s="8"/>
      <c r="F15" s="9">
        <f t="shared" si="0"/>
        <v>0</v>
      </c>
    </row>
    <row r="16" spans="1:10" ht="18.75" x14ac:dyDescent="0.25">
      <c r="A16" s="45" t="s">
        <v>112</v>
      </c>
      <c r="B16" s="35">
        <v>43099</v>
      </c>
      <c r="C16" s="6" t="s">
        <v>66</v>
      </c>
      <c r="D16" s="7">
        <v>510</v>
      </c>
      <c r="E16" s="8"/>
      <c r="F16" s="9">
        <f t="shared" si="0"/>
        <v>0</v>
      </c>
    </row>
    <row r="17" spans="1:12" ht="18.75" x14ac:dyDescent="0.25">
      <c r="A17" s="45" t="s">
        <v>112</v>
      </c>
      <c r="B17" s="35">
        <v>43099</v>
      </c>
      <c r="C17" s="10" t="s">
        <v>66</v>
      </c>
      <c r="D17" s="7">
        <v>320</v>
      </c>
      <c r="E17" s="8"/>
      <c r="F17" s="9">
        <f t="shared" si="0"/>
        <v>0</v>
      </c>
    </row>
    <row r="18" spans="1:12" ht="18.75" x14ac:dyDescent="0.25">
      <c r="A18" s="45" t="s">
        <v>112</v>
      </c>
      <c r="B18" s="35">
        <v>43099</v>
      </c>
      <c r="C18" s="6" t="s">
        <v>66</v>
      </c>
      <c r="D18" s="7">
        <v>243</v>
      </c>
      <c r="E18" s="8"/>
      <c r="F18" s="9">
        <f t="shared" si="0"/>
        <v>0</v>
      </c>
    </row>
    <row r="19" spans="1:12" ht="18.75" x14ac:dyDescent="0.25">
      <c r="A19" s="45" t="s">
        <v>112</v>
      </c>
      <c r="B19" s="35">
        <v>43099</v>
      </c>
      <c r="C19" s="10" t="s">
        <v>66</v>
      </c>
      <c r="D19" s="7">
        <v>1</v>
      </c>
      <c r="E19" s="8"/>
      <c r="F19" s="9">
        <f t="shared" si="0"/>
        <v>0</v>
      </c>
      <c r="L19" s="54"/>
    </row>
    <row r="20" spans="1:12" ht="18.75" x14ac:dyDescent="0.25">
      <c r="A20" s="45" t="s">
        <v>112</v>
      </c>
      <c r="B20" s="35">
        <v>43099</v>
      </c>
      <c r="C20" s="6" t="s">
        <v>66</v>
      </c>
      <c r="D20" s="7">
        <v>1</v>
      </c>
      <c r="E20" s="8"/>
      <c r="F20" s="9">
        <f t="shared" si="0"/>
        <v>0</v>
      </c>
    </row>
    <row r="21" spans="1:12" ht="18.75" x14ac:dyDescent="0.25">
      <c r="A21" s="45" t="s">
        <v>49</v>
      </c>
      <c r="B21" s="35">
        <v>43099</v>
      </c>
      <c r="C21" s="6" t="s">
        <v>10</v>
      </c>
      <c r="D21" s="7">
        <f>2+2</f>
        <v>4</v>
      </c>
      <c r="E21" s="8" t="s">
        <v>11</v>
      </c>
      <c r="F21" s="9">
        <f t="shared" si="0"/>
        <v>292</v>
      </c>
      <c r="K21" s="93"/>
    </row>
    <row r="22" spans="1:12" ht="18.75" x14ac:dyDescent="0.25">
      <c r="A22" s="45" t="s">
        <v>50</v>
      </c>
      <c r="B22" s="35">
        <v>43099</v>
      </c>
      <c r="C22" s="6" t="s">
        <v>12</v>
      </c>
      <c r="D22" s="7">
        <f>4+3</f>
        <v>7</v>
      </c>
      <c r="E22" s="8" t="s">
        <v>13</v>
      </c>
      <c r="F22" s="9">
        <f t="shared" si="0"/>
        <v>23800</v>
      </c>
    </row>
    <row r="23" spans="1:12" ht="18.75" x14ac:dyDescent="0.25">
      <c r="A23" s="45" t="s">
        <v>50</v>
      </c>
      <c r="B23" s="35">
        <v>43099</v>
      </c>
      <c r="C23" s="10" t="s">
        <v>12</v>
      </c>
      <c r="D23" s="7">
        <v>27</v>
      </c>
      <c r="E23" s="8"/>
      <c r="F23" s="9">
        <f t="shared" si="0"/>
        <v>0</v>
      </c>
    </row>
    <row r="24" spans="1:12" ht="18.75" x14ac:dyDescent="0.25">
      <c r="A24" s="45" t="s">
        <v>51</v>
      </c>
      <c r="B24" s="35">
        <v>43099</v>
      </c>
      <c r="C24" s="6" t="s">
        <v>14</v>
      </c>
      <c r="D24" s="7">
        <f>82+6</f>
        <v>88</v>
      </c>
      <c r="E24" s="8" t="s">
        <v>15</v>
      </c>
      <c r="F24" s="9">
        <f t="shared" si="0"/>
        <v>7458</v>
      </c>
    </row>
    <row r="25" spans="1:12" ht="18.75" x14ac:dyDescent="0.25">
      <c r="A25" s="45" t="s">
        <v>44</v>
      </c>
      <c r="B25" s="35">
        <v>43099</v>
      </c>
      <c r="C25" s="10" t="s">
        <v>16</v>
      </c>
      <c r="D25" s="7">
        <f>131+23</f>
        <v>154</v>
      </c>
      <c r="E25" s="8" t="s">
        <v>17</v>
      </c>
      <c r="F25" s="9">
        <f t="shared" si="0"/>
        <v>30800</v>
      </c>
    </row>
    <row r="26" spans="1:12" ht="18.75" x14ac:dyDescent="0.25">
      <c r="A26" s="45" t="s">
        <v>44</v>
      </c>
      <c r="B26" s="35">
        <v>43099</v>
      </c>
      <c r="C26" s="6" t="s">
        <v>16</v>
      </c>
      <c r="D26" s="7" t="s">
        <v>68</v>
      </c>
      <c r="E26" s="8" t="s">
        <v>69</v>
      </c>
      <c r="F26" s="9">
        <f t="shared" si="0"/>
        <v>0</v>
      </c>
    </row>
    <row r="27" spans="1:12" ht="18.75" x14ac:dyDescent="0.25">
      <c r="A27" s="45" t="s">
        <v>44</v>
      </c>
      <c r="B27" s="35">
        <v>43099</v>
      </c>
      <c r="C27" s="6" t="s">
        <v>16</v>
      </c>
      <c r="D27" s="7">
        <v>60</v>
      </c>
      <c r="E27" s="8"/>
      <c r="F27" s="9">
        <f t="shared" si="0"/>
        <v>0</v>
      </c>
    </row>
    <row r="28" spans="1:12" ht="18.75" x14ac:dyDescent="0.25">
      <c r="A28" s="45" t="s">
        <v>44</v>
      </c>
      <c r="B28" s="35">
        <v>43099</v>
      </c>
      <c r="C28" s="10" t="s">
        <v>16</v>
      </c>
      <c r="D28" s="7">
        <v>54</v>
      </c>
      <c r="E28" s="8">
        <v>158.9</v>
      </c>
      <c r="F28" s="9">
        <f t="shared" si="0"/>
        <v>8580.6</v>
      </c>
    </row>
    <row r="29" spans="1:12" ht="18.75" x14ac:dyDescent="0.25">
      <c r="A29" s="45" t="s">
        <v>52</v>
      </c>
      <c r="B29" s="35">
        <v>43099</v>
      </c>
      <c r="C29" s="10" t="s">
        <v>18</v>
      </c>
      <c r="D29" s="7">
        <f>2+2</f>
        <v>4</v>
      </c>
      <c r="E29" s="8">
        <v>194</v>
      </c>
      <c r="F29" s="9">
        <f t="shared" si="0"/>
        <v>776</v>
      </c>
    </row>
    <row r="30" spans="1:12" ht="18.75" x14ac:dyDescent="0.25">
      <c r="A30" s="45" t="s">
        <v>52</v>
      </c>
      <c r="B30" s="35">
        <v>43099</v>
      </c>
      <c r="C30" s="6" t="s">
        <v>18</v>
      </c>
      <c r="D30" s="7">
        <v>431</v>
      </c>
      <c r="E30" s="8"/>
      <c r="F30" s="9">
        <f t="shared" ref="F30:F61" si="1">+D30*E30</f>
        <v>0</v>
      </c>
    </row>
    <row r="31" spans="1:12" ht="18.75" x14ac:dyDescent="0.25">
      <c r="A31" s="45" t="s">
        <v>52</v>
      </c>
      <c r="B31" s="35">
        <v>43099</v>
      </c>
      <c r="C31" s="10" t="s">
        <v>18</v>
      </c>
      <c r="D31" s="7">
        <f>50+5</f>
        <v>55</v>
      </c>
      <c r="E31" s="8">
        <v>110</v>
      </c>
      <c r="F31" s="9">
        <f t="shared" si="1"/>
        <v>6050</v>
      </c>
    </row>
    <row r="32" spans="1:12" ht="18.75" x14ac:dyDescent="0.25">
      <c r="A32" s="45" t="s">
        <v>53</v>
      </c>
      <c r="B32" s="35">
        <v>43099</v>
      </c>
      <c r="C32" s="6" t="s">
        <v>19</v>
      </c>
      <c r="D32" s="7">
        <f>485+461</f>
        <v>946</v>
      </c>
      <c r="E32" s="8">
        <v>24</v>
      </c>
      <c r="F32" s="9">
        <f>+D32*E32</f>
        <v>22704</v>
      </c>
    </row>
    <row r="33" spans="1:6" ht="18.75" x14ac:dyDescent="0.25">
      <c r="A33" s="45" t="s">
        <v>53</v>
      </c>
      <c r="B33" s="35">
        <v>43099</v>
      </c>
      <c r="C33" s="6" t="s">
        <v>19</v>
      </c>
      <c r="D33" s="7">
        <f>4+4</f>
        <v>8</v>
      </c>
      <c r="E33" s="8">
        <v>25</v>
      </c>
      <c r="F33" s="9">
        <f t="shared" si="1"/>
        <v>200</v>
      </c>
    </row>
    <row r="34" spans="1:6" ht="18.75" x14ac:dyDescent="0.25">
      <c r="A34" s="45" t="s">
        <v>54</v>
      </c>
      <c r="B34" s="35">
        <v>43099</v>
      </c>
      <c r="C34" s="6" t="s">
        <v>70</v>
      </c>
      <c r="D34" s="7">
        <v>40109</v>
      </c>
      <c r="E34" s="8">
        <v>90</v>
      </c>
      <c r="F34" s="9">
        <f t="shared" si="1"/>
        <v>3609810</v>
      </c>
    </row>
    <row r="35" spans="1:6" ht="18.75" x14ac:dyDescent="0.25">
      <c r="A35" s="45" t="s">
        <v>54</v>
      </c>
      <c r="B35" s="35">
        <v>43099</v>
      </c>
      <c r="C35" s="10" t="s">
        <v>20</v>
      </c>
      <c r="D35" s="7">
        <f>142+142</f>
        <v>284</v>
      </c>
      <c r="E35" s="8">
        <v>55</v>
      </c>
      <c r="F35" s="9">
        <f t="shared" si="1"/>
        <v>15620</v>
      </c>
    </row>
    <row r="36" spans="1:6" ht="18.75" x14ac:dyDescent="0.25">
      <c r="A36" s="45" t="s">
        <v>55</v>
      </c>
      <c r="B36" s="35">
        <v>43099</v>
      </c>
      <c r="C36" s="6" t="s">
        <v>21</v>
      </c>
      <c r="D36" s="7">
        <f>9+3</f>
        <v>12</v>
      </c>
      <c r="E36" s="8">
        <v>101.69</v>
      </c>
      <c r="F36" s="9">
        <f t="shared" si="1"/>
        <v>1220.28</v>
      </c>
    </row>
    <row r="37" spans="1:6" ht="18.75" x14ac:dyDescent="0.25">
      <c r="A37" s="45" t="s">
        <v>55</v>
      </c>
      <c r="B37" s="35">
        <v>43099</v>
      </c>
      <c r="C37" s="10" t="s">
        <v>21</v>
      </c>
      <c r="D37" s="7">
        <f>19+19</f>
        <v>38</v>
      </c>
      <c r="E37" s="8">
        <v>12.5</v>
      </c>
      <c r="F37" s="9">
        <f t="shared" si="1"/>
        <v>475</v>
      </c>
    </row>
    <row r="38" spans="1:6" ht="18.75" x14ac:dyDescent="0.25">
      <c r="A38" s="45" t="s">
        <v>55</v>
      </c>
      <c r="B38" s="35">
        <v>43099</v>
      </c>
      <c r="C38" s="6" t="s">
        <v>21</v>
      </c>
      <c r="D38" s="7">
        <f>7+7</f>
        <v>14</v>
      </c>
      <c r="E38" s="8">
        <v>101.69</v>
      </c>
      <c r="F38" s="9">
        <f t="shared" si="1"/>
        <v>1423.6599999999999</v>
      </c>
    </row>
    <row r="39" spans="1:6" ht="18.75" x14ac:dyDescent="0.25">
      <c r="A39" s="45" t="s">
        <v>56</v>
      </c>
      <c r="B39" s="35">
        <v>43099</v>
      </c>
      <c r="C39" s="10" t="s">
        <v>22</v>
      </c>
      <c r="D39" s="7">
        <v>32</v>
      </c>
      <c r="E39" s="8"/>
      <c r="F39" s="9">
        <f t="shared" si="1"/>
        <v>0</v>
      </c>
    </row>
    <row r="40" spans="1:6" ht="18.75" x14ac:dyDescent="0.25">
      <c r="A40" s="45" t="s">
        <v>56</v>
      </c>
      <c r="B40" s="35">
        <v>43099</v>
      </c>
      <c r="C40" s="6" t="s">
        <v>22</v>
      </c>
      <c r="D40" s="7">
        <f>54+11</f>
        <v>65</v>
      </c>
      <c r="E40" s="8">
        <v>65</v>
      </c>
      <c r="F40" s="9">
        <f t="shared" si="1"/>
        <v>4225</v>
      </c>
    </row>
    <row r="41" spans="1:6" ht="18.75" x14ac:dyDescent="0.25">
      <c r="A41" s="47" t="s">
        <v>108</v>
      </c>
      <c r="B41" s="35">
        <v>43099</v>
      </c>
      <c r="C41" s="10" t="s">
        <v>23</v>
      </c>
      <c r="D41" s="7">
        <f>4+4</f>
        <v>8</v>
      </c>
      <c r="E41" s="8">
        <v>120</v>
      </c>
      <c r="F41" s="9">
        <f t="shared" si="1"/>
        <v>960</v>
      </c>
    </row>
    <row r="42" spans="1:6" ht="18.75" x14ac:dyDescent="0.25">
      <c r="A42" s="45" t="s">
        <v>71</v>
      </c>
      <c r="B42" s="35">
        <v>43099</v>
      </c>
      <c r="C42" s="6" t="s">
        <v>72</v>
      </c>
      <c r="D42" s="7">
        <v>2</v>
      </c>
      <c r="E42" s="8"/>
      <c r="F42" s="9">
        <f t="shared" si="1"/>
        <v>0</v>
      </c>
    </row>
    <row r="43" spans="1:6" ht="18.75" x14ac:dyDescent="0.25">
      <c r="A43" s="45" t="s">
        <v>73</v>
      </c>
      <c r="B43" s="35">
        <v>43099</v>
      </c>
      <c r="C43" s="6" t="s">
        <v>24</v>
      </c>
      <c r="D43" s="7">
        <f>1+1</f>
        <v>2</v>
      </c>
      <c r="E43" s="8">
        <v>795</v>
      </c>
      <c r="F43" s="9">
        <f t="shared" si="1"/>
        <v>1590</v>
      </c>
    </row>
    <row r="44" spans="1:6" ht="18.75" x14ac:dyDescent="0.25">
      <c r="A44" s="45" t="s">
        <v>73</v>
      </c>
      <c r="B44" s="35">
        <v>43099</v>
      </c>
      <c r="C44" s="10" t="s">
        <v>24</v>
      </c>
      <c r="D44" s="7">
        <v>2</v>
      </c>
      <c r="E44" s="8"/>
      <c r="F44" s="9">
        <f t="shared" si="1"/>
        <v>0</v>
      </c>
    </row>
    <row r="45" spans="1:6" ht="18.75" x14ac:dyDescent="0.25">
      <c r="A45" s="47" t="s">
        <v>64</v>
      </c>
      <c r="B45" s="35">
        <v>43099</v>
      </c>
      <c r="C45" s="6" t="s">
        <v>74</v>
      </c>
      <c r="D45" s="7">
        <v>11</v>
      </c>
      <c r="E45" s="8"/>
      <c r="F45" s="9">
        <f t="shared" si="1"/>
        <v>0</v>
      </c>
    </row>
    <row r="46" spans="1:6" ht="18.75" x14ac:dyDescent="0.25">
      <c r="A46" s="46" t="s">
        <v>64</v>
      </c>
      <c r="B46" s="35">
        <v>43099</v>
      </c>
      <c r="C46" s="10" t="s">
        <v>74</v>
      </c>
      <c r="D46" s="7">
        <v>24</v>
      </c>
      <c r="E46" s="8"/>
      <c r="F46" s="9">
        <f t="shared" si="1"/>
        <v>0</v>
      </c>
    </row>
    <row r="47" spans="1:6" ht="18.75" x14ac:dyDescent="0.25">
      <c r="A47" s="45" t="s">
        <v>109</v>
      </c>
      <c r="B47" s="35">
        <v>43099</v>
      </c>
      <c r="C47" s="10" t="s">
        <v>25</v>
      </c>
      <c r="D47" s="7">
        <f>967+967</f>
        <v>1934</v>
      </c>
      <c r="E47" s="8">
        <v>4</v>
      </c>
      <c r="F47" s="9">
        <f t="shared" si="1"/>
        <v>7736</v>
      </c>
    </row>
    <row r="48" spans="1:6" ht="18.75" x14ac:dyDescent="0.25">
      <c r="A48" s="45" t="s">
        <v>109</v>
      </c>
      <c r="B48" s="35">
        <v>43099</v>
      </c>
      <c r="C48" s="6" t="s">
        <v>25</v>
      </c>
      <c r="D48" s="7">
        <f>6026+6026</f>
        <v>12052</v>
      </c>
      <c r="E48" s="8">
        <v>2.65</v>
      </c>
      <c r="F48" s="9">
        <f t="shared" si="1"/>
        <v>31937.8</v>
      </c>
    </row>
    <row r="49" spans="1:6" ht="18.75" x14ac:dyDescent="0.25">
      <c r="A49" s="45" t="s">
        <v>75</v>
      </c>
      <c r="B49" s="35">
        <v>43099</v>
      </c>
      <c r="C49" s="10" t="s">
        <v>26</v>
      </c>
      <c r="D49" s="7">
        <f>61+6</f>
        <v>67</v>
      </c>
      <c r="E49" s="8">
        <v>395</v>
      </c>
      <c r="F49" s="9">
        <f t="shared" si="1"/>
        <v>26465</v>
      </c>
    </row>
    <row r="50" spans="1:6" ht="18.75" x14ac:dyDescent="0.25">
      <c r="A50" s="45" t="s">
        <v>76</v>
      </c>
      <c r="B50" s="35">
        <v>43099</v>
      </c>
      <c r="C50" s="6" t="s">
        <v>27</v>
      </c>
      <c r="D50" s="7">
        <f>40+40</f>
        <v>80</v>
      </c>
      <c r="E50" s="8">
        <v>198</v>
      </c>
      <c r="F50" s="9">
        <f t="shared" si="1"/>
        <v>15840</v>
      </c>
    </row>
    <row r="51" spans="1:6" ht="18.75" x14ac:dyDescent="0.25">
      <c r="A51" s="45" t="s">
        <v>77</v>
      </c>
      <c r="B51" s="35">
        <v>43099</v>
      </c>
      <c r="C51" s="6" t="s">
        <v>28</v>
      </c>
      <c r="D51" s="7">
        <f>296+106</f>
        <v>402</v>
      </c>
      <c r="E51" s="8">
        <v>17.399999999999999</v>
      </c>
      <c r="F51" s="9">
        <f t="shared" si="1"/>
        <v>6994.7999999999993</v>
      </c>
    </row>
    <row r="52" spans="1:6" ht="18.75" x14ac:dyDescent="0.25">
      <c r="A52" s="45" t="s">
        <v>77</v>
      </c>
      <c r="B52" s="35">
        <v>43099</v>
      </c>
      <c r="C52" s="6" t="s">
        <v>28</v>
      </c>
      <c r="D52" s="7">
        <v>56</v>
      </c>
      <c r="E52" s="8">
        <v>100</v>
      </c>
      <c r="F52" s="9">
        <f t="shared" si="1"/>
        <v>5600</v>
      </c>
    </row>
    <row r="53" spans="1:6" s="21" customFormat="1" ht="18.75" x14ac:dyDescent="0.25">
      <c r="A53" s="45" t="s">
        <v>77</v>
      </c>
      <c r="B53" s="35">
        <v>43099</v>
      </c>
      <c r="C53" s="6" t="s">
        <v>28</v>
      </c>
      <c r="D53" s="7">
        <v>13</v>
      </c>
      <c r="E53" s="8" t="s">
        <v>114</v>
      </c>
      <c r="F53" s="9">
        <f t="shared" si="1"/>
        <v>1300</v>
      </c>
    </row>
    <row r="54" spans="1:6" ht="18.75" x14ac:dyDescent="0.25">
      <c r="A54" s="45" t="s">
        <v>78</v>
      </c>
      <c r="B54" s="35">
        <v>43099</v>
      </c>
      <c r="C54" s="10" t="s">
        <v>29</v>
      </c>
      <c r="D54" s="7">
        <f>141+1</f>
        <v>142</v>
      </c>
      <c r="E54" s="8">
        <v>67</v>
      </c>
      <c r="F54" s="9">
        <f t="shared" si="1"/>
        <v>9514</v>
      </c>
    </row>
    <row r="55" spans="1:6" ht="18.75" x14ac:dyDescent="0.25">
      <c r="A55" s="45" t="s">
        <v>78</v>
      </c>
      <c r="B55" s="35">
        <v>43099</v>
      </c>
      <c r="C55" s="10" t="s">
        <v>29</v>
      </c>
      <c r="D55" s="7">
        <f>2+6</f>
        <v>8</v>
      </c>
      <c r="E55" s="8">
        <v>173.39</v>
      </c>
      <c r="F55" s="9">
        <f t="shared" si="1"/>
        <v>1387.12</v>
      </c>
    </row>
    <row r="56" spans="1:6" ht="18.75" x14ac:dyDescent="0.25">
      <c r="A56" s="45" t="s">
        <v>79</v>
      </c>
      <c r="B56" s="35">
        <v>43099</v>
      </c>
      <c r="C56" s="6" t="s">
        <v>30</v>
      </c>
      <c r="D56" s="7">
        <v>38</v>
      </c>
      <c r="E56" s="8"/>
      <c r="F56" s="9">
        <f t="shared" si="1"/>
        <v>0</v>
      </c>
    </row>
    <row r="57" spans="1:6" ht="18.75" x14ac:dyDescent="0.25">
      <c r="A57" s="45" t="s">
        <v>79</v>
      </c>
      <c r="B57" s="35">
        <v>43099</v>
      </c>
      <c r="C57" s="10" t="s">
        <v>30</v>
      </c>
      <c r="D57" s="7">
        <f>110+30</f>
        <v>140</v>
      </c>
      <c r="E57" s="8">
        <v>42</v>
      </c>
      <c r="F57" s="9">
        <f t="shared" si="1"/>
        <v>5880</v>
      </c>
    </row>
    <row r="58" spans="1:6" ht="18.75" x14ac:dyDescent="0.25">
      <c r="A58" s="45" t="s">
        <v>269</v>
      </c>
      <c r="B58" s="35">
        <v>43099</v>
      </c>
      <c r="C58" s="6" t="s">
        <v>80</v>
      </c>
      <c r="D58" s="7">
        <f>16+0.5</f>
        <v>16.5</v>
      </c>
      <c r="E58" s="8">
        <v>68</v>
      </c>
      <c r="F58" s="9">
        <f t="shared" si="1"/>
        <v>1122</v>
      </c>
    </row>
    <row r="59" spans="1:6" ht="18.75" x14ac:dyDescent="0.25">
      <c r="A59" s="45" t="s">
        <v>270</v>
      </c>
      <c r="B59" s="35">
        <v>43099</v>
      </c>
      <c r="C59" s="10" t="s">
        <v>80</v>
      </c>
      <c r="D59" s="7">
        <f>89+1</f>
        <v>90</v>
      </c>
      <c r="E59" s="8">
        <v>585</v>
      </c>
      <c r="F59" s="9">
        <f t="shared" si="1"/>
        <v>52650</v>
      </c>
    </row>
    <row r="60" spans="1:6" ht="18.75" x14ac:dyDescent="0.25">
      <c r="A60" s="45" t="s">
        <v>110</v>
      </c>
      <c r="B60" s="35">
        <v>43099</v>
      </c>
      <c r="C60" s="6" t="s">
        <v>81</v>
      </c>
      <c r="D60" s="7">
        <v>2</v>
      </c>
      <c r="E60" s="8"/>
      <c r="F60" s="9">
        <f t="shared" si="1"/>
        <v>0</v>
      </c>
    </row>
    <row r="61" spans="1:6" ht="18.75" x14ac:dyDescent="0.25">
      <c r="A61" s="45" t="s">
        <v>110</v>
      </c>
      <c r="B61" s="35">
        <v>43099</v>
      </c>
      <c r="C61" s="10" t="s">
        <v>81</v>
      </c>
      <c r="D61" s="7">
        <v>1</v>
      </c>
      <c r="E61" s="8"/>
      <c r="F61" s="9">
        <f t="shared" si="1"/>
        <v>0</v>
      </c>
    </row>
    <row r="62" spans="1:6" ht="18.75" x14ac:dyDescent="0.25">
      <c r="A62" s="45" t="s">
        <v>110</v>
      </c>
      <c r="B62" s="35">
        <v>43099</v>
      </c>
      <c r="C62" s="6" t="s">
        <v>81</v>
      </c>
      <c r="D62" s="7">
        <v>1</v>
      </c>
      <c r="E62" s="8"/>
      <c r="F62" s="9">
        <f t="shared" ref="F62:F90" si="2">+D62*E62</f>
        <v>0</v>
      </c>
    </row>
    <row r="63" spans="1:6" ht="18.75" x14ac:dyDescent="0.25">
      <c r="A63" s="45" t="s">
        <v>110</v>
      </c>
      <c r="B63" s="35">
        <v>43099</v>
      </c>
      <c r="C63" s="10" t="s">
        <v>81</v>
      </c>
      <c r="D63" s="7">
        <v>1</v>
      </c>
      <c r="E63" s="8"/>
      <c r="F63" s="9">
        <f t="shared" si="2"/>
        <v>0</v>
      </c>
    </row>
    <row r="64" spans="1:6" ht="18.75" x14ac:dyDescent="0.25">
      <c r="A64" s="45" t="s">
        <v>82</v>
      </c>
      <c r="B64" s="35">
        <v>43099</v>
      </c>
      <c r="C64" s="10" t="s">
        <v>31</v>
      </c>
      <c r="D64" s="7">
        <v>121</v>
      </c>
      <c r="E64" s="8">
        <v>2.4500000000000002</v>
      </c>
      <c r="F64" s="9">
        <f t="shared" si="2"/>
        <v>296.45000000000005</v>
      </c>
    </row>
    <row r="65" spans="1:12" ht="18.75" x14ac:dyDescent="0.25">
      <c r="A65" s="45" t="s">
        <v>83</v>
      </c>
      <c r="B65" s="35">
        <v>43099</v>
      </c>
      <c r="C65" s="6" t="s">
        <v>84</v>
      </c>
      <c r="D65" s="7">
        <f>166+9</f>
        <v>175</v>
      </c>
      <c r="E65" s="8">
        <v>179.45</v>
      </c>
      <c r="F65" s="9">
        <f t="shared" si="2"/>
        <v>31403.749999999996</v>
      </c>
    </row>
    <row r="66" spans="1:12" ht="18.75" x14ac:dyDescent="0.25">
      <c r="A66" s="45" t="s">
        <v>67</v>
      </c>
      <c r="B66" s="35">
        <v>43099</v>
      </c>
      <c r="C66" s="10" t="s">
        <v>32</v>
      </c>
      <c r="D66" s="7">
        <f>84+14</f>
        <v>98</v>
      </c>
      <c r="E66" s="8">
        <v>55</v>
      </c>
      <c r="F66" s="9">
        <f t="shared" si="2"/>
        <v>5390</v>
      </c>
    </row>
    <row r="67" spans="1:12" ht="18.75" x14ac:dyDescent="0.25">
      <c r="A67" s="45" t="s">
        <v>85</v>
      </c>
      <c r="B67" s="35">
        <v>43099</v>
      </c>
      <c r="C67" s="6" t="s">
        <v>86</v>
      </c>
      <c r="D67" s="7">
        <v>69</v>
      </c>
      <c r="E67" s="8"/>
      <c r="F67" s="9">
        <f t="shared" si="2"/>
        <v>0</v>
      </c>
    </row>
    <row r="68" spans="1:12" ht="18.75" x14ac:dyDescent="0.25">
      <c r="A68" s="45" t="s">
        <v>271</v>
      </c>
      <c r="B68" s="35">
        <v>43099</v>
      </c>
      <c r="C68" s="6" t="s">
        <v>33</v>
      </c>
      <c r="D68" s="7">
        <f>7+1</f>
        <v>8</v>
      </c>
      <c r="E68" s="8">
        <v>149.91999999999999</v>
      </c>
      <c r="F68" s="9">
        <f t="shared" si="2"/>
        <v>1199.3599999999999</v>
      </c>
    </row>
    <row r="69" spans="1:12" s="1" customFormat="1" ht="18.75" x14ac:dyDescent="0.25">
      <c r="A69" s="45" t="s">
        <v>272</v>
      </c>
      <c r="B69" s="35">
        <v>43099</v>
      </c>
      <c r="C69" s="6" t="s">
        <v>88</v>
      </c>
      <c r="D69" s="7">
        <f>12+406</f>
        <v>418</v>
      </c>
      <c r="E69" s="8">
        <v>96.41</v>
      </c>
      <c r="F69" s="9">
        <f t="shared" si="2"/>
        <v>40299.379999999997</v>
      </c>
      <c r="L69" s="22"/>
    </row>
    <row r="70" spans="1:12" s="1" customFormat="1" ht="18.75" x14ac:dyDescent="0.25">
      <c r="A70" s="45" t="s">
        <v>87</v>
      </c>
      <c r="B70" s="35">
        <v>43099</v>
      </c>
      <c r="C70" s="10" t="s">
        <v>34</v>
      </c>
      <c r="D70" s="7">
        <v>4911</v>
      </c>
      <c r="E70" s="8">
        <v>1.43</v>
      </c>
      <c r="F70" s="9">
        <f t="shared" si="2"/>
        <v>7022.73</v>
      </c>
      <c r="L70" s="23"/>
    </row>
    <row r="71" spans="1:12" s="21" customFormat="1" ht="18.75" x14ac:dyDescent="0.25">
      <c r="A71" s="45" t="s">
        <v>87</v>
      </c>
      <c r="B71" s="35">
        <v>43099</v>
      </c>
      <c r="C71" s="10" t="s">
        <v>34</v>
      </c>
      <c r="D71" s="7">
        <v>12</v>
      </c>
      <c r="E71" s="8" t="s">
        <v>116</v>
      </c>
      <c r="F71" s="9">
        <f t="shared" si="2"/>
        <v>1156.92</v>
      </c>
      <c r="L71" s="23"/>
    </row>
    <row r="72" spans="1:12" ht="18.75" x14ac:dyDescent="0.25">
      <c r="A72" s="45" t="s">
        <v>87</v>
      </c>
      <c r="B72" s="35">
        <v>43099</v>
      </c>
      <c r="C72" s="10" t="s">
        <v>89</v>
      </c>
      <c r="D72" s="7">
        <f>53+5</f>
        <v>58</v>
      </c>
      <c r="E72" s="8">
        <v>110</v>
      </c>
      <c r="F72" s="9">
        <f t="shared" si="2"/>
        <v>6380</v>
      </c>
      <c r="L72" s="22"/>
    </row>
    <row r="73" spans="1:12" ht="18.75" x14ac:dyDescent="0.25">
      <c r="A73" s="45" t="s">
        <v>87</v>
      </c>
      <c r="B73" s="35">
        <v>43099</v>
      </c>
      <c r="C73" s="6" t="s">
        <v>35</v>
      </c>
      <c r="D73" s="7">
        <f>62+1</f>
        <v>63</v>
      </c>
      <c r="E73" s="8">
        <v>110</v>
      </c>
      <c r="F73" s="9">
        <f t="shared" si="2"/>
        <v>6930</v>
      </c>
      <c r="L73" s="22"/>
    </row>
    <row r="74" spans="1:12" ht="18.75" x14ac:dyDescent="0.25">
      <c r="A74" s="45" t="s">
        <v>90</v>
      </c>
      <c r="B74" s="35">
        <v>43099</v>
      </c>
      <c r="C74" s="10" t="s">
        <v>91</v>
      </c>
      <c r="D74" s="7">
        <f>180+715</f>
        <v>895</v>
      </c>
      <c r="E74" s="8">
        <v>160</v>
      </c>
      <c r="F74" s="9">
        <f t="shared" si="2"/>
        <v>143200</v>
      </c>
      <c r="L74" s="24"/>
    </row>
    <row r="75" spans="1:12" s="21" customFormat="1" ht="18.75" x14ac:dyDescent="0.25">
      <c r="A75" s="45" t="s">
        <v>117</v>
      </c>
      <c r="B75" s="35">
        <v>43099</v>
      </c>
      <c r="C75" s="10" t="s">
        <v>127</v>
      </c>
      <c r="D75" s="7">
        <v>11</v>
      </c>
      <c r="E75" s="8" t="s">
        <v>115</v>
      </c>
      <c r="F75" s="9">
        <f t="shared" si="2"/>
        <v>1144</v>
      </c>
      <c r="L75" s="24"/>
    </row>
    <row r="76" spans="1:12" ht="18.75" x14ac:dyDescent="0.25">
      <c r="A76" s="45" t="s">
        <v>118</v>
      </c>
      <c r="B76" s="35">
        <v>43099</v>
      </c>
      <c r="C76" s="6" t="s">
        <v>92</v>
      </c>
      <c r="D76" s="7">
        <v>9</v>
      </c>
      <c r="E76" s="8">
        <v>104</v>
      </c>
      <c r="F76" s="9">
        <f t="shared" si="2"/>
        <v>936</v>
      </c>
      <c r="L76" s="22"/>
    </row>
    <row r="77" spans="1:12" ht="18.75" x14ac:dyDescent="0.25">
      <c r="A77" s="45" t="s">
        <v>93</v>
      </c>
      <c r="B77" s="35">
        <v>43099</v>
      </c>
      <c r="C77" s="6" t="s">
        <v>36</v>
      </c>
      <c r="D77" s="7">
        <f>87+53</f>
        <v>140</v>
      </c>
      <c r="E77" s="8">
        <v>80</v>
      </c>
      <c r="F77" s="9">
        <f t="shared" si="2"/>
        <v>11200</v>
      </c>
      <c r="L77" s="24"/>
    </row>
    <row r="78" spans="1:12" ht="18.75" x14ac:dyDescent="0.25">
      <c r="A78" s="45" t="s">
        <v>119</v>
      </c>
      <c r="B78" s="35">
        <v>43099</v>
      </c>
      <c r="C78" s="10" t="s">
        <v>37</v>
      </c>
      <c r="D78" s="7">
        <f>54+8</f>
        <v>62</v>
      </c>
      <c r="E78" s="8">
        <v>138.81</v>
      </c>
      <c r="F78" s="9">
        <f t="shared" si="2"/>
        <v>8606.2199999999993</v>
      </c>
      <c r="L78" s="24"/>
    </row>
    <row r="79" spans="1:12" ht="18.75" x14ac:dyDescent="0.25">
      <c r="A79" s="46" t="s">
        <v>64</v>
      </c>
      <c r="B79" s="35">
        <v>43099</v>
      </c>
      <c r="C79" s="6" t="s">
        <v>38</v>
      </c>
      <c r="D79" s="7">
        <f>3+3</f>
        <v>6</v>
      </c>
      <c r="E79" s="8">
        <v>656</v>
      </c>
      <c r="F79" s="9">
        <f t="shared" si="2"/>
        <v>3936</v>
      </c>
      <c r="L79" s="24"/>
    </row>
    <row r="80" spans="1:12" ht="18.75" x14ac:dyDescent="0.25">
      <c r="A80" s="46" t="s">
        <v>111</v>
      </c>
      <c r="B80" s="35">
        <v>43099</v>
      </c>
      <c r="C80" s="6" t="s">
        <v>94</v>
      </c>
      <c r="D80" s="7">
        <v>6</v>
      </c>
      <c r="E80" s="8"/>
      <c r="F80" s="9">
        <f t="shared" si="2"/>
        <v>0</v>
      </c>
      <c r="L80" s="24"/>
    </row>
    <row r="81" spans="1:12" ht="18.75" x14ac:dyDescent="0.25">
      <c r="A81" s="45" t="s">
        <v>120</v>
      </c>
      <c r="B81" s="35">
        <v>43099</v>
      </c>
      <c r="C81" s="6" t="s">
        <v>39</v>
      </c>
      <c r="D81" s="7">
        <f>174+102</f>
        <v>276</v>
      </c>
      <c r="E81" s="8">
        <v>25.42</v>
      </c>
      <c r="F81" s="9">
        <f t="shared" si="2"/>
        <v>7015.92</v>
      </c>
      <c r="L81" s="24"/>
    </row>
    <row r="82" spans="1:12" ht="18.75" x14ac:dyDescent="0.25">
      <c r="A82" s="45" t="s">
        <v>120</v>
      </c>
      <c r="B82" s="35">
        <v>43099</v>
      </c>
      <c r="C82" s="10" t="s">
        <v>39</v>
      </c>
      <c r="D82" s="7">
        <f>31+31</f>
        <v>62</v>
      </c>
      <c r="E82" s="8">
        <v>138</v>
      </c>
      <c r="F82" s="9">
        <f t="shared" si="2"/>
        <v>8556</v>
      </c>
      <c r="L82" s="22"/>
    </row>
    <row r="83" spans="1:12" ht="18.75" x14ac:dyDescent="0.25">
      <c r="A83" s="45" t="s">
        <v>121</v>
      </c>
      <c r="B83" s="35">
        <v>43099</v>
      </c>
      <c r="C83" s="6" t="s">
        <v>40</v>
      </c>
      <c r="D83" s="7">
        <f>94+58</f>
        <v>152</v>
      </c>
      <c r="E83" s="8">
        <v>36.78</v>
      </c>
      <c r="F83" s="9">
        <f t="shared" si="2"/>
        <v>5590.56</v>
      </c>
      <c r="L83" s="24"/>
    </row>
    <row r="84" spans="1:12" ht="18.75" x14ac:dyDescent="0.25">
      <c r="A84" s="45" t="s">
        <v>122</v>
      </c>
      <c r="B84" s="35">
        <v>43099</v>
      </c>
      <c r="C84" s="10" t="s">
        <v>41</v>
      </c>
      <c r="D84" s="7">
        <v>1</v>
      </c>
      <c r="E84" s="8">
        <v>76</v>
      </c>
      <c r="F84" s="9">
        <f t="shared" si="2"/>
        <v>76</v>
      </c>
      <c r="L84" s="24"/>
    </row>
    <row r="85" spans="1:12" ht="18.75" x14ac:dyDescent="0.25">
      <c r="A85" s="45" t="s">
        <v>123</v>
      </c>
      <c r="B85" s="35">
        <v>43099</v>
      </c>
      <c r="C85" s="6" t="s">
        <v>96</v>
      </c>
      <c r="D85" s="7">
        <f>92+44</f>
        <v>136</v>
      </c>
      <c r="E85" s="8">
        <v>39</v>
      </c>
      <c r="F85" s="9">
        <f t="shared" si="2"/>
        <v>5304</v>
      </c>
      <c r="L85" s="24"/>
    </row>
    <row r="86" spans="1:12" s="21" customFormat="1" ht="18.75" x14ac:dyDescent="0.25">
      <c r="A86" s="45" t="s">
        <v>95</v>
      </c>
      <c r="B86" s="35">
        <v>43099</v>
      </c>
      <c r="C86" s="6" t="s">
        <v>124</v>
      </c>
      <c r="D86" s="7">
        <v>918</v>
      </c>
      <c r="E86" s="8" t="s">
        <v>125</v>
      </c>
      <c r="F86" s="9">
        <f t="shared" si="2"/>
        <v>18396.719999999998</v>
      </c>
      <c r="L86" s="24"/>
    </row>
    <row r="87" spans="1:12" s="21" customFormat="1" ht="18.75" x14ac:dyDescent="0.25">
      <c r="A87" s="45" t="s">
        <v>95</v>
      </c>
      <c r="B87" s="35">
        <v>43099</v>
      </c>
      <c r="C87" s="6" t="s">
        <v>124</v>
      </c>
      <c r="D87" s="7">
        <v>142</v>
      </c>
      <c r="E87" s="8" t="s">
        <v>126</v>
      </c>
      <c r="F87" s="9">
        <f t="shared" si="2"/>
        <v>15381.439999999999</v>
      </c>
      <c r="L87" s="24"/>
    </row>
    <row r="88" spans="1:12" ht="18.75" x14ac:dyDescent="0.25">
      <c r="A88" s="45" t="s">
        <v>123</v>
      </c>
      <c r="B88" s="35">
        <v>43099</v>
      </c>
      <c r="C88" s="10" t="s">
        <v>124</v>
      </c>
      <c r="D88" s="7">
        <v>250</v>
      </c>
      <c r="E88" s="8">
        <v>37</v>
      </c>
      <c r="F88" s="9">
        <f t="shared" si="2"/>
        <v>9250</v>
      </c>
      <c r="L88" s="24"/>
    </row>
    <row r="89" spans="1:12" ht="18.75" x14ac:dyDescent="0.25">
      <c r="A89" s="48" t="s">
        <v>97</v>
      </c>
      <c r="B89" s="35">
        <v>43099</v>
      </c>
      <c r="C89" s="6" t="s">
        <v>98</v>
      </c>
      <c r="D89" s="7">
        <v>29</v>
      </c>
      <c r="E89" s="8"/>
      <c r="F89" s="9">
        <f t="shared" si="2"/>
        <v>0</v>
      </c>
      <c r="L89" s="24"/>
    </row>
    <row r="90" spans="1:12" ht="18.75" x14ac:dyDescent="0.25">
      <c r="A90" s="48" t="s">
        <v>99</v>
      </c>
      <c r="B90" s="35">
        <v>43099</v>
      </c>
      <c r="C90" s="10" t="s">
        <v>100</v>
      </c>
      <c r="D90" s="7">
        <f>1+1</f>
        <v>2</v>
      </c>
      <c r="E90" s="8"/>
      <c r="F90" s="9">
        <f t="shared" si="2"/>
        <v>0</v>
      </c>
      <c r="L90" s="22"/>
    </row>
    <row r="91" spans="1:12" ht="17.25" customHeight="1" thickBot="1" x14ac:dyDescent="0.3">
      <c r="A91" s="155" t="s">
        <v>101</v>
      </c>
      <c r="B91" s="156"/>
      <c r="C91" s="156"/>
      <c r="D91" s="156"/>
      <c r="E91" s="157"/>
      <c r="F91" s="11">
        <f>SUM(F5:F90)</f>
        <v>4471712.3099999996</v>
      </c>
      <c r="H91" s="54"/>
      <c r="L91" s="22"/>
    </row>
    <row r="92" spans="1:12" x14ac:dyDescent="0.25">
      <c r="L92" s="24"/>
    </row>
    <row r="93" spans="1:12" ht="15.75" x14ac:dyDescent="0.25">
      <c r="A93" s="158" t="s">
        <v>102</v>
      </c>
      <c r="B93" s="158"/>
      <c r="C93" s="12" t="s">
        <v>103</v>
      </c>
      <c r="D93" s="13"/>
      <c r="E93" s="13"/>
      <c r="F93" s="13"/>
      <c r="L93" s="22"/>
    </row>
    <row r="94" spans="1:12" ht="15.75" x14ac:dyDescent="0.25">
      <c r="A94" s="14"/>
      <c r="B94" s="15"/>
      <c r="C94" s="16" t="s">
        <v>104</v>
      </c>
      <c r="D94" s="17"/>
      <c r="E94" s="18"/>
      <c r="F94" s="19"/>
      <c r="L94" s="22"/>
    </row>
    <row r="95" spans="1:12" x14ac:dyDescent="0.25">
      <c r="A95" s="19"/>
      <c r="B95" s="19"/>
      <c r="C95" s="19"/>
      <c r="D95" s="19"/>
      <c r="E95" s="19"/>
      <c r="F95" s="19"/>
      <c r="L95" s="24"/>
    </row>
    <row r="96" spans="1:12" ht="15.75" customHeight="1" x14ac:dyDescent="0.25">
      <c r="A96" s="20" t="s">
        <v>105</v>
      </c>
      <c r="B96" s="145" t="s">
        <v>106</v>
      </c>
      <c r="C96" s="145"/>
      <c r="D96" s="145"/>
      <c r="E96" s="145"/>
      <c r="F96" s="145"/>
      <c r="L96" s="24"/>
    </row>
    <row r="97" spans="12:12" x14ac:dyDescent="0.25">
      <c r="L97" s="24"/>
    </row>
    <row r="98" spans="12:12" ht="15.75" x14ac:dyDescent="0.25">
      <c r="L98" s="22"/>
    </row>
    <row r="99" spans="12:12" x14ac:dyDescent="0.25">
      <c r="L99" s="24"/>
    </row>
    <row r="100" spans="12:12" x14ac:dyDescent="0.25">
      <c r="L100" s="24"/>
    </row>
    <row r="101" spans="12:12" ht="15.75" x14ac:dyDescent="0.25">
      <c r="L101" s="22"/>
    </row>
    <row r="102" spans="12:12" x14ac:dyDescent="0.25">
      <c r="L102" s="24"/>
    </row>
    <row r="103" spans="12:12" ht="15.75" x14ac:dyDescent="0.25">
      <c r="L103" s="22"/>
    </row>
    <row r="104" spans="12:12" x14ac:dyDescent="0.25">
      <c r="L104" s="24"/>
    </row>
    <row r="105" spans="12:12" ht="15.75" x14ac:dyDescent="0.25">
      <c r="L105" s="22"/>
    </row>
    <row r="106" spans="12:12" x14ac:dyDescent="0.25">
      <c r="L106" s="24"/>
    </row>
    <row r="107" spans="12:12" x14ac:dyDescent="0.25">
      <c r="L107" s="24"/>
    </row>
    <row r="108" spans="12:12" ht="15.75" x14ac:dyDescent="0.25">
      <c r="L108" s="22"/>
    </row>
    <row r="109" spans="12:12" x14ac:dyDescent="0.25">
      <c r="L109" s="24"/>
    </row>
    <row r="110" spans="12:12" x14ac:dyDescent="0.25">
      <c r="L110" s="24"/>
    </row>
    <row r="111" spans="12:12" ht="15.75" x14ac:dyDescent="0.25">
      <c r="L111" s="22"/>
    </row>
    <row r="112" spans="12:12" ht="15.75" x14ac:dyDescent="0.25">
      <c r="L112" s="22"/>
    </row>
    <row r="113" spans="12:12" x14ac:dyDescent="0.25">
      <c r="L113" s="24"/>
    </row>
    <row r="114" spans="12:12" x14ac:dyDescent="0.25">
      <c r="L114" s="24"/>
    </row>
    <row r="115" spans="12:12" x14ac:dyDescent="0.25">
      <c r="L115" s="24"/>
    </row>
    <row r="116" spans="12:12" ht="15.75" x14ac:dyDescent="0.25">
      <c r="L116" s="22"/>
    </row>
    <row r="117" spans="12:12" x14ac:dyDescent="0.25">
      <c r="L117" s="24"/>
    </row>
    <row r="118" spans="12:12" ht="15.75" x14ac:dyDescent="0.25">
      <c r="L118" s="22"/>
    </row>
    <row r="119" spans="12:12" ht="15.75" x14ac:dyDescent="0.25">
      <c r="L119" s="22"/>
    </row>
    <row r="120" spans="12:12" ht="15.75" x14ac:dyDescent="0.25">
      <c r="L120" s="22"/>
    </row>
    <row r="121" spans="12:12" x14ac:dyDescent="0.25">
      <c r="L121" s="24"/>
    </row>
    <row r="122" spans="12:12" ht="15.75" x14ac:dyDescent="0.25">
      <c r="L122" s="22"/>
    </row>
    <row r="123" spans="12:12" x14ac:dyDescent="0.25">
      <c r="L123" s="24"/>
    </row>
    <row r="124" spans="12:12" ht="15.75" x14ac:dyDescent="0.25">
      <c r="L124" s="22"/>
    </row>
    <row r="125" spans="12:12" x14ac:dyDescent="0.25">
      <c r="L125" s="24"/>
    </row>
    <row r="126" spans="12:12" ht="15.75" x14ac:dyDescent="0.25">
      <c r="L126" s="22"/>
    </row>
    <row r="127" spans="12:12" ht="15.75" x14ac:dyDescent="0.25">
      <c r="L127" s="22"/>
    </row>
    <row r="128" spans="12:12" ht="15.75" x14ac:dyDescent="0.25">
      <c r="L128" s="22"/>
    </row>
    <row r="129" spans="12:12" x14ac:dyDescent="0.25">
      <c r="L129" s="24"/>
    </row>
    <row r="130" spans="12:12" x14ac:dyDescent="0.25">
      <c r="L130" s="24"/>
    </row>
    <row r="131" spans="12:12" x14ac:dyDescent="0.25">
      <c r="L131" s="24"/>
    </row>
    <row r="132" spans="12:12" ht="15.75" x14ac:dyDescent="0.25">
      <c r="L132" s="22"/>
    </row>
    <row r="133" spans="12:12" ht="15.75" x14ac:dyDescent="0.25">
      <c r="L133" s="22"/>
    </row>
    <row r="134" spans="12:12" ht="15.75" x14ac:dyDescent="0.25">
      <c r="L134" s="22"/>
    </row>
    <row r="135" spans="12:12" ht="15.75" x14ac:dyDescent="0.25">
      <c r="L135" s="22"/>
    </row>
    <row r="136" spans="12:12" ht="15.75" x14ac:dyDescent="0.25">
      <c r="L136" s="22"/>
    </row>
    <row r="137" spans="12:12" ht="15.75" x14ac:dyDescent="0.25">
      <c r="L137" s="22"/>
    </row>
    <row r="138" spans="12:12" ht="15.75" x14ac:dyDescent="0.25">
      <c r="L138" s="22"/>
    </row>
    <row r="139" spans="12:12" x14ac:dyDescent="0.25">
      <c r="L139" s="24"/>
    </row>
    <row r="140" spans="12:12" x14ac:dyDescent="0.25">
      <c r="L140" s="24"/>
    </row>
    <row r="141" spans="12:12" ht="15.75" x14ac:dyDescent="0.25">
      <c r="L141" s="22"/>
    </row>
    <row r="142" spans="12:12" ht="15.75" x14ac:dyDescent="0.25">
      <c r="L142" s="22"/>
    </row>
    <row r="143" spans="12:12" ht="15.75" x14ac:dyDescent="0.25">
      <c r="L143" s="22"/>
    </row>
    <row r="144" spans="12:12" ht="15.75" x14ac:dyDescent="0.25">
      <c r="L144" s="22"/>
    </row>
    <row r="145" spans="12:12" x14ac:dyDescent="0.25">
      <c r="L145" s="24"/>
    </row>
    <row r="146" spans="12:12" x14ac:dyDescent="0.25">
      <c r="L146" s="24"/>
    </row>
    <row r="147" spans="12:12" ht="15.75" x14ac:dyDescent="0.25">
      <c r="L147" s="22"/>
    </row>
    <row r="148" spans="12:12" x14ac:dyDescent="0.25">
      <c r="L148" s="24"/>
    </row>
    <row r="149" spans="12:12" ht="15.75" x14ac:dyDescent="0.25">
      <c r="L149" s="22"/>
    </row>
    <row r="150" spans="12:12" ht="15.75" x14ac:dyDescent="0.25">
      <c r="L150" s="22"/>
    </row>
    <row r="151" spans="12:12" ht="15.75" x14ac:dyDescent="0.25">
      <c r="L151" s="22"/>
    </row>
    <row r="152" spans="12:12" ht="15.75" x14ac:dyDescent="0.25">
      <c r="L152" s="22"/>
    </row>
    <row r="153" spans="12:12" ht="15.75" x14ac:dyDescent="0.25">
      <c r="L153" s="25"/>
    </row>
    <row r="154" spans="12:12" ht="15.75" x14ac:dyDescent="0.25">
      <c r="L154" s="25"/>
    </row>
  </sheetData>
  <mergeCells count="5">
    <mergeCell ref="B96:F96"/>
    <mergeCell ref="A1:F1"/>
    <mergeCell ref="A2:F3"/>
    <mergeCell ref="A91:E91"/>
    <mergeCell ref="A93:B93"/>
  </mergeCells>
  <pageMargins left="0.70866141732283472" right="0.70866141732283472" top="0.74803149606299213" bottom="0.74803149606299213" header="0.31496062992125984" footer="0.31496062992125984"/>
  <pageSetup scale="85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176"/>
  <sheetViews>
    <sheetView workbookViewId="0">
      <selection activeCell="B81" sqref="B81"/>
    </sheetView>
  </sheetViews>
  <sheetFormatPr defaultRowHeight="15" x14ac:dyDescent="0.25"/>
  <cols>
    <col min="1" max="1" width="13.140625" customWidth="1"/>
    <col min="2" max="2" width="20" customWidth="1"/>
    <col min="3" max="3" width="35.140625" customWidth="1"/>
    <col min="4" max="4" width="13.5703125" customWidth="1"/>
    <col min="5" max="5" width="14" customWidth="1"/>
    <col min="6" max="6" width="17" customWidth="1"/>
    <col min="7" max="7" width="4.140625" customWidth="1"/>
  </cols>
  <sheetData>
    <row r="1" spans="1:7" ht="18" customHeight="1" x14ac:dyDescent="0.25">
      <c r="A1" s="162" t="str">
        <f>+[1]Inventario!$A$2:$G$2</f>
        <v>DIRECCION GENERAL DE ETICA E INTEGRIDAD GUBERNAMENTAL</v>
      </c>
      <c r="B1" s="162"/>
      <c r="C1" s="162"/>
      <c r="D1" s="162"/>
      <c r="E1" s="162"/>
      <c r="F1" s="162"/>
      <c r="G1" s="162"/>
    </row>
    <row r="2" spans="1:7" ht="18" customHeight="1" x14ac:dyDescent="0.25">
      <c r="A2" s="163" t="s">
        <v>292</v>
      </c>
      <c r="B2" s="163"/>
      <c r="C2" s="163"/>
      <c r="D2" s="163"/>
      <c r="E2" s="163"/>
      <c r="F2" s="163"/>
      <c r="G2" s="163"/>
    </row>
    <row r="3" spans="1:7" ht="15.75" thickBot="1" x14ac:dyDescent="0.3">
      <c r="A3" s="30"/>
      <c r="B3" s="31"/>
      <c r="C3" s="32"/>
      <c r="D3" s="32"/>
      <c r="E3" s="33"/>
      <c r="F3" s="30"/>
      <c r="G3" s="30"/>
    </row>
    <row r="4" spans="1:7" ht="53.25" customHeight="1" x14ac:dyDescent="0.25">
      <c r="A4" s="94" t="s">
        <v>58</v>
      </c>
      <c r="B4" s="95" t="s">
        <v>59</v>
      </c>
      <c r="C4" s="95" t="s">
        <v>60</v>
      </c>
      <c r="D4" s="96" t="s">
        <v>61</v>
      </c>
      <c r="E4" s="97" t="s">
        <v>62</v>
      </c>
      <c r="F4" s="100" t="s">
        <v>63</v>
      </c>
      <c r="G4" s="34"/>
    </row>
    <row r="5" spans="1:7" ht="18.75" x14ac:dyDescent="0.25">
      <c r="A5" s="98" t="s">
        <v>211</v>
      </c>
      <c r="B5" s="35">
        <v>43099</v>
      </c>
      <c r="C5" s="29" t="s">
        <v>128</v>
      </c>
      <c r="D5" s="40">
        <v>1</v>
      </c>
      <c r="E5" s="103">
        <v>350</v>
      </c>
      <c r="F5" s="101">
        <f>D5*E5</f>
        <v>350</v>
      </c>
      <c r="G5" s="36"/>
    </row>
    <row r="6" spans="1:7" ht="18.75" x14ac:dyDescent="0.25">
      <c r="A6" s="98" t="s">
        <v>212</v>
      </c>
      <c r="B6" s="35">
        <v>43099</v>
      </c>
      <c r="C6" s="27" t="s">
        <v>129</v>
      </c>
      <c r="D6" s="28">
        <f>17+2580</f>
        <v>2597</v>
      </c>
      <c r="E6" s="104">
        <v>33</v>
      </c>
      <c r="F6" s="102">
        <f t="shared" ref="F6:F69" si="0">D6*E6</f>
        <v>85701</v>
      </c>
      <c r="G6" s="36"/>
    </row>
    <row r="7" spans="1:7" ht="18.75" x14ac:dyDescent="0.25">
      <c r="A7" s="98" t="s">
        <v>213</v>
      </c>
      <c r="B7" s="35">
        <v>43099</v>
      </c>
      <c r="C7" s="27" t="s">
        <v>130</v>
      </c>
      <c r="D7" s="28">
        <f>2+17</f>
        <v>19</v>
      </c>
      <c r="E7" s="104">
        <v>509</v>
      </c>
      <c r="F7" s="102">
        <f t="shared" si="0"/>
        <v>9671</v>
      </c>
      <c r="G7" s="36"/>
    </row>
    <row r="8" spans="1:7" ht="18.75" x14ac:dyDescent="0.25">
      <c r="A8" s="98" t="s">
        <v>214</v>
      </c>
      <c r="B8" s="35">
        <v>43099</v>
      </c>
      <c r="C8" s="27" t="s">
        <v>131</v>
      </c>
      <c r="D8" s="28">
        <v>298</v>
      </c>
      <c r="E8" s="104">
        <v>10</v>
      </c>
      <c r="F8" s="102">
        <f t="shared" si="0"/>
        <v>2980</v>
      </c>
      <c r="G8" s="36"/>
    </row>
    <row r="9" spans="1:7" ht="18.75" x14ac:dyDescent="0.25">
      <c r="A9" s="98" t="s">
        <v>215</v>
      </c>
      <c r="B9" s="35">
        <v>43099</v>
      </c>
      <c r="C9" s="27" t="s">
        <v>132</v>
      </c>
      <c r="D9" s="28">
        <v>46</v>
      </c>
      <c r="E9" s="104"/>
      <c r="F9" s="102">
        <f t="shared" si="0"/>
        <v>0</v>
      </c>
      <c r="G9" s="36"/>
    </row>
    <row r="10" spans="1:7" ht="18.75" x14ac:dyDescent="0.25">
      <c r="A10" s="98" t="s">
        <v>216</v>
      </c>
      <c r="B10" s="35">
        <v>43099</v>
      </c>
      <c r="C10" s="27" t="s">
        <v>133</v>
      </c>
      <c r="D10" s="28">
        <v>222</v>
      </c>
      <c r="E10" s="104">
        <v>29.18</v>
      </c>
      <c r="F10" s="102">
        <f t="shared" si="0"/>
        <v>6477.96</v>
      </c>
      <c r="G10" s="36"/>
    </row>
    <row r="11" spans="1:7" ht="18.75" x14ac:dyDescent="0.25">
      <c r="A11" s="98" t="s">
        <v>217</v>
      </c>
      <c r="B11" s="35">
        <v>43099</v>
      </c>
      <c r="C11" s="27" t="s">
        <v>133</v>
      </c>
      <c r="D11" s="28">
        <v>285</v>
      </c>
      <c r="E11" s="104">
        <v>29.18</v>
      </c>
      <c r="F11" s="102">
        <f t="shared" si="0"/>
        <v>8316.2999999999993</v>
      </c>
      <c r="G11" s="36"/>
    </row>
    <row r="12" spans="1:7" ht="18.75" x14ac:dyDescent="0.25">
      <c r="A12" s="98" t="s">
        <v>218</v>
      </c>
      <c r="B12" s="35">
        <v>43099</v>
      </c>
      <c r="C12" s="27" t="s">
        <v>134</v>
      </c>
      <c r="D12" s="28">
        <f>150+60</f>
        <v>210</v>
      </c>
      <c r="E12" s="104">
        <v>2.85</v>
      </c>
      <c r="F12" s="102">
        <f t="shared" si="0"/>
        <v>598.5</v>
      </c>
      <c r="G12" s="36"/>
    </row>
    <row r="13" spans="1:7" ht="18.75" x14ac:dyDescent="0.25">
      <c r="A13" s="98" t="s">
        <v>219</v>
      </c>
      <c r="B13" s="35">
        <v>43099</v>
      </c>
      <c r="C13" s="27" t="s">
        <v>135</v>
      </c>
      <c r="D13" s="28">
        <v>10</v>
      </c>
      <c r="E13" s="52">
        <v>320</v>
      </c>
      <c r="F13" s="102">
        <f t="shared" si="0"/>
        <v>3200</v>
      </c>
      <c r="G13" s="36"/>
    </row>
    <row r="14" spans="1:7" ht="18.75" x14ac:dyDescent="0.25">
      <c r="A14" s="98" t="s">
        <v>220</v>
      </c>
      <c r="B14" s="35">
        <v>43099</v>
      </c>
      <c r="C14" s="27" t="s">
        <v>136</v>
      </c>
      <c r="D14" s="28">
        <f>24+12</f>
        <v>36</v>
      </c>
      <c r="E14" s="52">
        <v>75.040000000000006</v>
      </c>
      <c r="F14" s="102">
        <f t="shared" si="0"/>
        <v>2701.44</v>
      </c>
      <c r="G14" s="36"/>
    </row>
    <row r="15" spans="1:7" ht="18.75" x14ac:dyDescent="0.25">
      <c r="A15" s="98" t="s">
        <v>220</v>
      </c>
      <c r="B15" s="35">
        <v>43099</v>
      </c>
      <c r="C15" s="27" t="s">
        <v>136</v>
      </c>
      <c r="D15" s="28">
        <v>16</v>
      </c>
      <c r="E15" s="52">
        <v>119.88</v>
      </c>
      <c r="F15" s="102">
        <f t="shared" si="0"/>
        <v>1918.08</v>
      </c>
      <c r="G15" s="36"/>
    </row>
    <row r="16" spans="1:7" ht="18.75" x14ac:dyDescent="0.25">
      <c r="A16" s="98" t="s">
        <v>220</v>
      </c>
      <c r="B16" s="35">
        <v>43099</v>
      </c>
      <c r="C16" s="27" t="s">
        <v>136</v>
      </c>
      <c r="D16" s="28">
        <f>10+34</f>
        <v>44</v>
      </c>
      <c r="E16" s="52">
        <v>188.5</v>
      </c>
      <c r="F16" s="102">
        <f t="shared" si="0"/>
        <v>8294</v>
      </c>
      <c r="G16" s="36"/>
    </row>
    <row r="17" spans="1:7" ht="18.75" x14ac:dyDescent="0.25">
      <c r="A17" s="98" t="s">
        <v>220</v>
      </c>
      <c r="B17" s="35">
        <v>43099</v>
      </c>
      <c r="C17" s="27" t="s">
        <v>136</v>
      </c>
      <c r="D17" s="28">
        <v>11</v>
      </c>
      <c r="E17" s="52">
        <v>233.05</v>
      </c>
      <c r="F17" s="102">
        <f t="shared" si="0"/>
        <v>2563.5500000000002</v>
      </c>
      <c r="G17" s="36"/>
    </row>
    <row r="18" spans="1:7" ht="18.75" x14ac:dyDescent="0.25">
      <c r="A18" s="98" t="s">
        <v>220</v>
      </c>
      <c r="B18" s="35">
        <v>43099</v>
      </c>
      <c r="C18" s="27" t="s">
        <v>136</v>
      </c>
      <c r="D18" s="28">
        <v>7</v>
      </c>
      <c r="E18" s="52">
        <v>463.35</v>
      </c>
      <c r="F18" s="102">
        <f t="shared" si="0"/>
        <v>3243.4500000000003</v>
      </c>
      <c r="G18" s="36"/>
    </row>
    <row r="19" spans="1:7" ht="18.75" x14ac:dyDescent="0.25">
      <c r="A19" s="98" t="s">
        <v>222</v>
      </c>
      <c r="B19" s="35">
        <v>43099</v>
      </c>
      <c r="C19" s="27" t="s">
        <v>137</v>
      </c>
      <c r="D19" s="28">
        <f>5+10</f>
        <v>15</v>
      </c>
      <c r="E19" s="52">
        <v>5406.8</v>
      </c>
      <c r="F19" s="102">
        <f t="shared" si="0"/>
        <v>81102</v>
      </c>
      <c r="G19" s="36"/>
    </row>
    <row r="20" spans="1:7" ht="18.75" x14ac:dyDescent="0.25">
      <c r="A20" s="98" t="s">
        <v>222</v>
      </c>
      <c r="B20" s="35">
        <v>43099</v>
      </c>
      <c r="C20" s="27" t="s">
        <v>137</v>
      </c>
      <c r="D20" s="28">
        <v>9</v>
      </c>
      <c r="E20" s="52">
        <v>4860</v>
      </c>
      <c r="F20" s="102">
        <f t="shared" si="0"/>
        <v>43740</v>
      </c>
      <c r="G20" s="36"/>
    </row>
    <row r="21" spans="1:7" ht="18.75" x14ac:dyDescent="0.25">
      <c r="A21" s="98" t="s">
        <v>222</v>
      </c>
      <c r="B21" s="35">
        <v>43099</v>
      </c>
      <c r="C21" s="27" t="s">
        <v>137</v>
      </c>
      <c r="D21" s="28">
        <v>10</v>
      </c>
      <c r="E21" s="52">
        <v>4860</v>
      </c>
      <c r="F21" s="102">
        <f t="shared" si="0"/>
        <v>48600</v>
      </c>
      <c r="G21" s="36"/>
    </row>
    <row r="22" spans="1:7" ht="18.75" x14ac:dyDescent="0.25">
      <c r="A22" s="98" t="s">
        <v>222</v>
      </c>
      <c r="B22" s="35">
        <v>43099</v>
      </c>
      <c r="C22" s="27" t="s">
        <v>137</v>
      </c>
      <c r="D22" s="28">
        <v>8</v>
      </c>
      <c r="E22" s="52">
        <v>4860</v>
      </c>
      <c r="F22" s="102">
        <f t="shared" si="0"/>
        <v>38880</v>
      </c>
      <c r="G22" s="36"/>
    </row>
    <row r="23" spans="1:7" ht="18.75" x14ac:dyDescent="0.25">
      <c r="A23" s="98" t="s">
        <v>222</v>
      </c>
      <c r="B23" s="35">
        <v>43099</v>
      </c>
      <c r="C23" s="27" t="s">
        <v>137</v>
      </c>
      <c r="D23" s="28">
        <f>6+107</f>
        <v>113</v>
      </c>
      <c r="E23" s="52">
        <v>2091</v>
      </c>
      <c r="F23" s="102">
        <f t="shared" si="0"/>
        <v>236283</v>
      </c>
      <c r="G23" s="36"/>
    </row>
    <row r="24" spans="1:7" ht="18.75" x14ac:dyDescent="0.25">
      <c r="A24" s="98" t="s">
        <v>222</v>
      </c>
      <c r="B24" s="35">
        <v>43099</v>
      </c>
      <c r="C24" s="27" t="s">
        <v>137</v>
      </c>
      <c r="D24" s="28">
        <f>1+10</f>
        <v>11</v>
      </c>
      <c r="E24" s="52">
        <v>3481</v>
      </c>
      <c r="F24" s="102">
        <f t="shared" si="0"/>
        <v>38291</v>
      </c>
      <c r="G24" s="36"/>
    </row>
    <row r="25" spans="1:7" ht="18.75" x14ac:dyDescent="0.25">
      <c r="A25" s="98" t="s">
        <v>222</v>
      </c>
      <c r="B25" s="35">
        <v>43099</v>
      </c>
      <c r="C25" s="27" t="s">
        <v>137</v>
      </c>
      <c r="D25" s="28">
        <f>15+60</f>
        <v>75</v>
      </c>
      <c r="E25" s="52">
        <v>2592.6</v>
      </c>
      <c r="F25" s="102">
        <f t="shared" si="0"/>
        <v>194445</v>
      </c>
      <c r="G25" s="36"/>
    </row>
    <row r="26" spans="1:7" ht="18.75" x14ac:dyDescent="0.25">
      <c r="A26" s="98" t="s">
        <v>222</v>
      </c>
      <c r="B26" s="35">
        <v>43099</v>
      </c>
      <c r="C26" s="27" t="s">
        <v>137</v>
      </c>
      <c r="D26" s="28">
        <v>16</v>
      </c>
      <c r="E26" s="52">
        <v>7316</v>
      </c>
      <c r="F26" s="102">
        <f t="shared" si="0"/>
        <v>117056</v>
      </c>
      <c r="G26" s="36"/>
    </row>
    <row r="27" spans="1:7" ht="18.75" x14ac:dyDescent="0.25">
      <c r="A27" s="98" t="s">
        <v>222</v>
      </c>
      <c r="B27" s="35">
        <v>43099</v>
      </c>
      <c r="C27" s="27" t="s">
        <v>137</v>
      </c>
      <c r="D27" s="28">
        <v>16</v>
      </c>
      <c r="E27" s="52">
        <v>5360.74</v>
      </c>
      <c r="F27" s="102">
        <f t="shared" si="0"/>
        <v>85771.839999999997</v>
      </c>
      <c r="G27" s="36"/>
    </row>
    <row r="28" spans="1:7" ht="18.75" x14ac:dyDescent="0.25">
      <c r="A28" s="98" t="s">
        <v>222</v>
      </c>
      <c r="B28" s="35">
        <v>43099</v>
      </c>
      <c r="C28" s="27" t="s">
        <v>137</v>
      </c>
      <c r="D28" s="28">
        <f>3+30</f>
        <v>33</v>
      </c>
      <c r="E28" s="52">
        <v>6405.04</v>
      </c>
      <c r="F28" s="102">
        <f t="shared" si="0"/>
        <v>211366.32</v>
      </c>
      <c r="G28" s="36"/>
    </row>
    <row r="29" spans="1:7" ht="18.75" x14ac:dyDescent="0.25">
      <c r="A29" s="98" t="s">
        <v>222</v>
      </c>
      <c r="B29" s="35">
        <v>43099</v>
      </c>
      <c r="C29" s="27" t="s">
        <v>137</v>
      </c>
      <c r="D29" s="28">
        <v>79</v>
      </c>
      <c r="E29" s="105">
        <v>6613.9</v>
      </c>
      <c r="F29" s="102">
        <f t="shared" si="0"/>
        <v>522498.1</v>
      </c>
      <c r="G29" s="36"/>
    </row>
    <row r="30" spans="1:7" ht="18.75" x14ac:dyDescent="0.25">
      <c r="A30" s="98" t="s">
        <v>222</v>
      </c>
      <c r="B30" s="35">
        <v>43099</v>
      </c>
      <c r="C30" s="27" t="s">
        <v>137</v>
      </c>
      <c r="D30" s="28">
        <f>5+18</f>
        <v>23</v>
      </c>
      <c r="E30" s="52">
        <v>4664.54</v>
      </c>
      <c r="F30" s="102">
        <f t="shared" si="0"/>
        <v>107284.42</v>
      </c>
      <c r="G30" s="36"/>
    </row>
    <row r="31" spans="1:7" ht="18.75" x14ac:dyDescent="0.25">
      <c r="A31" s="98" t="s">
        <v>222</v>
      </c>
      <c r="B31" s="35">
        <v>43099</v>
      </c>
      <c r="C31" s="27" t="s">
        <v>137</v>
      </c>
      <c r="D31" s="28">
        <f>8+18</f>
        <v>26</v>
      </c>
      <c r="E31" s="52">
        <v>4664.54</v>
      </c>
      <c r="F31" s="102">
        <f t="shared" si="0"/>
        <v>121278.04</v>
      </c>
      <c r="G31" s="36"/>
    </row>
    <row r="32" spans="1:7" ht="18.75" x14ac:dyDescent="0.25">
      <c r="A32" s="98" t="s">
        <v>222</v>
      </c>
      <c r="B32" s="35">
        <v>43099</v>
      </c>
      <c r="C32" s="27" t="s">
        <v>137</v>
      </c>
      <c r="D32" s="28">
        <f>8+18</f>
        <v>26</v>
      </c>
      <c r="E32" s="52">
        <v>4664.54</v>
      </c>
      <c r="F32" s="102">
        <f t="shared" si="0"/>
        <v>121278.04</v>
      </c>
      <c r="G32" s="36"/>
    </row>
    <row r="33" spans="1:7" ht="18.75" x14ac:dyDescent="0.25">
      <c r="A33" s="98" t="s">
        <v>222</v>
      </c>
      <c r="B33" s="35">
        <v>43099</v>
      </c>
      <c r="C33" s="27" t="s">
        <v>137</v>
      </c>
      <c r="D33" s="28">
        <f>8+18</f>
        <v>26</v>
      </c>
      <c r="E33" s="52">
        <v>4664.54</v>
      </c>
      <c r="F33" s="102">
        <f t="shared" si="0"/>
        <v>121278.04</v>
      </c>
      <c r="G33" s="36"/>
    </row>
    <row r="34" spans="1:7" ht="18.75" x14ac:dyDescent="0.25">
      <c r="A34" s="98" t="s">
        <v>222</v>
      </c>
      <c r="B34" s="35">
        <v>43099</v>
      </c>
      <c r="C34" s="27" t="s">
        <v>137</v>
      </c>
      <c r="D34" s="28">
        <f>7+42</f>
        <v>49</v>
      </c>
      <c r="E34" s="106">
        <v>2479</v>
      </c>
      <c r="F34" s="102">
        <f t="shared" si="0"/>
        <v>121471</v>
      </c>
      <c r="G34" s="36"/>
    </row>
    <row r="35" spans="1:7" ht="18.75" x14ac:dyDescent="0.25">
      <c r="A35" s="98" t="s">
        <v>222</v>
      </c>
      <c r="B35" s="35">
        <v>43099</v>
      </c>
      <c r="C35" s="27" t="s">
        <v>137</v>
      </c>
      <c r="D35" s="28">
        <f>6+45</f>
        <v>51</v>
      </c>
      <c r="E35" s="52">
        <v>4794.8999999999996</v>
      </c>
      <c r="F35" s="102">
        <f t="shared" si="0"/>
        <v>244539.9</v>
      </c>
      <c r="G35" s="36"/>
    </row>
    <row r="36" spans="1:7" ht="18.75" x14ac:dyDescent="0.25">
      <c r="A36" s="98" t="s">
        <v>222</v>
      </c>
      <c r="B36" s="35">
        <v>43099</v>
      </c>
      <c r="C36" s="27" t="s">
        <v>137</v>
      </c>
      <c r="D36" s="28">
        <f>6+45</f>
        <v>51</v>
      </c>
      <c r="E36" s="52">
        <v>4794.8999999999996</v>
      </c>
      <c r="F36" s="102">
        <f t="shared" si="0"/>
        <v>244539.9</v>
      </c>
      <c r="G36" s="36"/>
    </row>
    <row r="37" spans="1:7" ht="18.75" x14ac:dyDescent="0.25">
      <c r="A37" s="98" t="s">
        <v>222</v>
      </c>
      <c r="B37" s="35">
        <v>43099</v>
      </c>
      <c r="C37" s="27" t="s">
        <v>137</v>
      </c>
      <c r="D37" s="28">
        <f>9+45</f>
        <v>54</v>
      </c>
      <c r="E37" s="52">
        <v>4794.8999999999996</v>
      </c>
      <c r="F37" s="102">
        <f t="shared" si="0"/>
        <v>258924.59999999998</v>
      </c>
      <c r="G37" s="36"/>
    </row>
    <row r="38" spans="1:7" ht="18.75" x14ac:dyDescent="0.25">
      <c r="A38" s="98" t="s">
        <v>222</v>
      </c>
      <c r="B38" s="35">
        <v>43099</v>
      </c>
      <c r="C38" s="27" t="s">
        <v>137</v>
      </c>
      <c r="D38" s="28">
        <v>0</v>
      </c>
      <c r="E38" s="52">
        <v>2592.6</v>
      </c>
      <c r="F38" s="102">
        <f t="shared" si="0"/>
        <v>0</v>
      </c>
      <c r="G38" s="36"/>
    </row>
    <row r="39" spans="1:7" ht="18.75" x14ac:dyDescent="0.25">
      <c r="A39" s="98" t="s">
        <v>221</v>
      </c>
      <c r="B39" s="35">
        <v>43099</v>
      </c>
      <c r="C39" s="27" t="s">
        <v>138</v>
      </c>
      <c r="D39" s="28">
        <v>15</v>
      </c>
      <c r="E39" s="52">
        <v>1700</v>
      </c>
      <c r="F39" s="102">
        <f t="shared" si="0"/>
        <v>25500</v>
      </c>
      <c r="G39" s="36"/>
    </row>
    <row r="40" spans="1:7" ht="18.75" x14ac:dyDescent="0.25">
      <c r="A40" s="98" t="s">
        <v>222</v>
      </c>
      <c r="B40" s="35">
        <v>43099</v>
      </c>
      <c r="C40" s="27" t="s">
        <v>137</v>
      </c>
      <c r="D40" s="28">
        <v>15</v>
      </c>
      <c r="E40" s="52">
        <v>7560.4</v>
      </c>
      <c r="F40" s="102">
        <f t="shared" si="0"/>
        <v>113406</v>
      </c>
      <c r="G40" s="36"/>
    </row>
    <row r="41" spans="1:7" ht="18.75" x14ac:dyDescent="0.25">
      <c r="A41" s="98" t="s">
        <v>223</v>
      </c>
      <c r="B41" s="35">
        <v>43099</v>
      </c>
      <c r="C41" s="27" t="s">
        <v>139</v>
      </c>
      <c r="D41" s="28">
        <v>46</v>
      </c>
      <c r="E41" s="52">
        <v>5.2</v>
      </c>
      <c r="F41" s="102">
        <f t="shared" si="0"/>
        <v>239.20000000000002</v>
      </c>
      <c r="G41" s="36"/>
    </row>
    <row r="42" spans="1:7" ht="18.75" x14ac:dyDescent="0.25">
      <c r="A42" s="98" t="s">
        <v>223</v>
      </c>
      <c r="B42" s="35">
        <v>43099</v>
      </c>
      <c r="C42" s="27" t="s">
        <v>139</v>
      </c>
      <c r="D42" s="28">
        <v>114</v>
      </c>
      <c r="E42" s="52">
        <v>5.2</v>
      </c>
      <c r="F42" s="102">
        <f t="shared" si="0"/>
        <v>592.80000000000007</v>
      </c>
      <c r="G42" s="36"/>
    </row>
    <row r="43" spans="1:7" ht="18.75" x14ac:dyDescent="0.25">
      <c r="A43" s="98" t="s">
        <v>223</v>
      </c>
      <c r="B43" s="35">
        <v>43099</v>
      </c>
      <c r="C43" s="27" t="s">
        <v>139</v>
      </c>
      <c r="D43" s="28">
        <v>285</v>
      </c>
      <c r="E43" s="52">
        <v>5.2</v>
      </c>
      <c r="F43" s="102">
        <f t="shared" si="0"/>
        <v>1482</v>
      </c>
      <c r="G43" s="36"/>
    </row>
    <row r="44" spans="1:7" ht="18.75" x14ac:dyDescent="0.25">
      <c r="A44" s="98" t="s">
        <v>223</v>
      </c>
      <c r="B44" s="35">
        <v>43099</v>
      </c>
      <c r="C44" s="27" t="s">
        <v>139</v>
      </c>
      <c r="D44" s="28">
        <v>120</v>
      </c>
      <c r="E44" s="52">
        <v>5.2</v>
      </c>
      <c r="F44" s="102">
        <f t="shared" si="0"/>
        <v>624</v>
      </c>
      <c r="G44" s="36"/>
    </row>
    <row r="45" spans="1:7" ht="18.75" x14ac:dyDescent="0.25">
      <c r="A45" s="98" t="s">
        <v>223</v>
      </c>
      <c r="B45" s="35">
        <v>43099</v>
      </c>
      <c r="C45" s="27" t="s">
        <v>139</v>
      </c>
      <c r="D45" s="28">
        <v>232</v>
      </c>
      <c r="E45" s="52">
        <v>5.2</v>
      </c>
      <c r="F45" s="102">
        <f t="shared" si="0"/>
        <v>1206.4000000000001</v>
      </c>
      <c r="G45" s="36"/>
    </row>
    <row r="46" spans="1:7" ht="18.75" x14ac:dyDescent="0.25">
      <c r="A46" s="98" t="s">
        <v>223</v>
      </c>
      <c r="B46" s="35">
        <v>43099</v>
      </c>
      <c r="C46" s="27" t="s">
        <v>139</v>
      </c>
      <c r="D46" s="28">
        <v>80</v>
      </c>
      <c r="E46" s="52">
        <v>5.2</v>
      </c>
      <c r="F46" s="102">
        <f t="shared" si="0"/>
        <v>416</v>
      </c>
      <c r="G46" s="36"/>
    </row>
    <row r="47" spans="1:7" ht="18.75" x14ac:dyDescent="0.25">
      <c r="A47" s="98" t="s">
        <v>223</v>
      </c>
      <c r="B47" s="35">
        <v>43099</v>
      </c>
      <c r="C47" s="27" t="s">
        <v>139</v>
      </c>
      <c r="D47" s="28">
        <v>43</v>
      </c>
      <c r="E47" s="52">
        <v>5.2</v>
      </c>
      <c r="F47" s="102">
        <f t="shared" si="0"/>
        <v>223.6</v>
      </c>
      <c r="G47" s="36"/>
    </row>
    <row r="48" spans="1:7" ht="18.75" x14ac:dyDescent="0.25">
      <c r="A48" s="98" t="s">
        <v>224</v>
      </c>
      <c r="B48" s="35">
        <v>43099</v>
      </c>
      <c r="C48" s="27" t="s">
        <v>140</v>
      </c>
      <c r="D48" s="28">
        <f>109+422</f>
        <v>531</v>
      </c>
      <c r="E48" s="52">
        <v>18.09</v>
      </c>
      <c r="F48" s="102">
        <f t="shared" si="0"/>
        <v>9605.7899999999991</v>
      </c>
      <c r="G48" s="36"/>
    </row>
    <row r="49" spans="1:7" ht="18.75" x14ac:dyDescent="0.25">
      <c r="A49" s="98" t="s">
        <v>225</v>
      </c>
      <c r="B49" s="35">
        <v>43099</v>
      </c>
      <c r="C49" s="27" t="s">
        <v>141</v>
      </c>
      <c r="D49" s="28">
        <v>112</v>
      </c>
      <c r="E49" s="52">
        <v>125</v>
      </c>
      <c r="F49" s="102">
        <f t="shared" si="0"/>
        <v>14000</v>
      </c>
      <c r="G49" s="36"/>
    </row>
    <row r="50" spans="1:7" ht="18.75" x14ac:dyDescent="0.25">
      <c r="A50" s="98" t="s">
        <v>225</v>
      </c>
      <c r="B50" s="35">
        <v>43099</v>
      </c>
      <c r="C50" s="27" t="s">
        <v>141</v>
      </c>
      <c r="D50" s="28">
        <f>109+99</f>
        <v>208</v>
      </c>
      <c r="E50" s="52">
        <v>15.38</v>
      </c>
      <c r="F50" s="102">
        <f t="shared" si="0"/>
        <v>3199.04</v>
      </c>
      <c r="G50" s="36"/>
    </row>
    <row r="51" spans="1:7" ht="18.75" x14ac:dyDescent="0.25">
      <c r="A51" s="98" t="s">
        <v>225</v>
      </c>
      <c r="B51" s="35">
        <v>43099</v>
      </c>
      <c r="C51" s="27" t="s">
        <v>141</v>
      </c>
      <c r="D51" s="28">
        <f>69+2736</f>
        <v>2805</v>
      </c>
      <c r="E51" s="52">
        <v>32</v>
      </c>
      <c r="F51" s="102">
        <f t="shared" si="0"/>
        <v>89760</v>
      </c>
      <c r="G51" s="38"/>
    </row>
    <row r="52" spans="1:7" ht="18.75" x14ac:dyDescent="0.25">
      <c r="A52" s="98" t="s">
        <v>225</v>
      </c>
      <c r="B52" s="35">
        <v>43099</v>
      </c>
      <c r="C52" s="27" t="s">
        <v>141</v>
      </c>
      <c r="D52" s="28">
        <f>40+2096</f>
        <v>2136</v>
      </c>
      <c r="E52" s="52">
        <v>20</v>
      </c>
      <c r="F52" s="102">
        <f t="shared" si="0"/>
        <v>42720</v>
      </c>
      <c r="G52" s="36"/>
    </row>
    <row r="53" spans="1:7" ht="18.75" x14ac:dyDescent="0.25">
      <c r="A53" s="99"/>
      <c r="B53" s="35">
        <v>43099</v>
      </c>
      <c r="C53" s="27" t="s">
        <v>142</v>
      </c>
      <c r="D53" s="28">
        <v>8</v>
      </c>
      <c r="E53" s="52">
        <v>15.38</v>
      </c>
      <c r="F53" s="102">
        <f t="shared" si="0"/>
        <v>123.04</v>
      </c>
      <c r="G53" s="38"/>
    </row>
    <row r="54" spans="1:7" ht="18.75" x14ac:dyDescent="0.25">
      <c r="A54" s="98" t="s">
        <v>225</v>
      </c>
      <c r="B54" s="35">
        <v>43099</v>
      </c>
      <c r="C54" s="27" t="s">
        <v>141</v>
      </c>
      <c r="D54" s="28">
        <f>158+51</f>
        <v>209</v>
      </c>
      <c r="E54" s="52">
        <v>20.78</v>
      </c>
      <c r="F54" s="102">
        <f t="shared" si="0"/>
        <v>4343.0200000000004</v>
      </c>
      <c r="G54" s="38"/>
    </row>
    <row r="55" spans="1:7" ht="18.75" x14ac:dyDescent="0.25">
      <c r="A55" s="98" t="s">
        <v>225</v>
      </c>
      <c r="B55" s="35">
        <v>43099</v>
      </c>
      <c r="C55" s="27" t="s">
        <v>143</v>
      </c>
      <c r="D55" s="28">
        <f>7+6</f>
        <v>13</v>
      </c>
      <c r="E55" s="52">
        <v>49</v>
      </c>
      <c r="F55" s="102">
        <f t="shared" si="0"/>
        <v>637</v>
      </c>
      <c r="G55" s="38"/>
    </row>
    <row r="56" spans="1:7" ht="18.75" x14ac:dyDescent="0.25">
      <c r="A56" s="98" t="s">
        <v>226</v>
      </c>
      <c r="B56" s="35">
        <v>43099</v>
      </c>
      <c r="C56" s="27" t="s">
        <v>144</v>
      </c>
      <c r="D56" s="28">
        <f>9+310</f>
        <v>319</v>
      </c>
      <c r="E56" s="52">
        <v>31.98</v>
      </c>
      <c r="F56" s="102">
        <f t="shared" si="0"/>
        <v>10201.620000000001</v>
      </c>
      <c r="G56" s="38"/>
    </row>
    <row r="57" spans="1:7" ht="18.75" x14ac:dyDescent="0.25">
      <c r="A57" s="98" t="s">
        <v>226</v>
      </c>
      <c r="B57" s="35">
        <v>43099</v>
      </c>
      <c r="C57" s="27" t="s">
        <v>145</v>
      </c>
      <c r="D57" s="28">
        <f>674+10</f>
        <v>684</v>
      </c>
      <c r="E57" s="52">
        <v>13.39</v>
      </c>
      <c r="F57" s="102">
        <f t="shared" si="0"/>
        <v>9158.76</v>
      </c>
      <c r="G57" s="38"/>
    </row>
    <row r="58" spans="1:7" ht="18.75" x14ac:dyDescent="0.25">
      <c r="A58" s="98" t="s">
        <v>226</v>
      </c>
      <c r="B58" s="35">
        <v>43099</v>
      </c>
      <c r="C58" s="27" t="s">
        <v>145</v>
      </c>
      <c r="D58" s="28">
        <v>12</v>
      </c>
      <c r="E58" s="52"/>
      <c r="F58" s="102">
        <f t="shared" si="0"/>
        <v>0</v>
      </c>
      <c r="G58" s="38"/>
    </row>
    <row r="59" spans="1:7" ht="18.75" x14ac:dyDescent="0.25">
      <c r="A59" s="98" t="s">
        <v>226</v>
      </c>
      <c r="B59" s="35">
        <v>43099</v>
      </c>
      <c r="C59" s="27" t="s">
        <v>145</v>
      </c>
      <c r="D59" s="28">
        <v>367</v>
      </c>
      <c r="E59" s="52">
        <v>6.75</v>
      </c>
      <c r="F59" s="102">
        <f t="shared" si="0"/>
        <v>2477.25</v>
      </c>
      <c r="G59" s="38"/>
    </row>
    <row r="60" spans="1:7" ht="18.75" x14ac:dyDescent="0.25">
      <c r="A60" s="99"/>
      <c r="B60" s="35">
        <v>43099</v>
      </c>
      <c r="C60" s="27" t="s">
        <v>146</v>
      </c>
      <c r="D60" s="28">
        <f>20+10</f>
        <v>30</v>
      </c>
      <c r="E60" s="52">
        <v>20.84</v>
      </c>
      <c r="F60" s="102">
        <f t="shared" si="0"/>
        <v>625.20000000000005</v>
      </c>
      <c r="G60" s="38"/>
    </row>
    <row r="61" spans="1:7" ht="18.75" x14ac:dyDescent="0.25">
      <c r="A61" s="98" t="s">
        <v>227</v>
      </c>
      <c r="B61" s="35">
        <v>43099</v>
      </c>
      <c r="C61" s="27" t="s">
        <v>228</v>
      </c>
      <c r="D61" s="28">
        <v>1</v>
      </c>
      <c r="E61" s="52">
        <v>254.6</v>
      </c>
      <c r="F61" s="102">
        <f t="shared" si="0"/>
        <v>254.6</v>
      </c>
      <c r="G61" s="38"/>
    </row>
    <row r="62" spans="1:7" ht="18.75" x14ac:dyDescent="0.25">
      <c r="A62" s="98" t="s">
        <v>230</v>
      </c>
      <c r="B62" s="35">
        <v>43099</v>
      </c>
      <c r="C62" s="27" t="s">
        <v>229</v>
      </c>
      <c r="D62" s="28">
        <v>283</v>
      </c>
      <c r="E62" s="52">
        <v>11.02</v>
      </c>
      <c r="F62" s="102">
        <f t="shared" si="0"/>
        <v>3118.66</v>
      </c>
      <c r="G62" s="38"/>
    </row>
    <row r="63" spans="1:7" ht="18.75" x14ac:dyDescent="0.25">
      <c r="A63" s="98" t="s">
        <v>231</v>
      </c>
      <c r="B63" s="35">
        <v>43099</v>
      </c>
      <c r="C63" s="27" t="s">
        <v>147</v>
      </c>
      <c r="D63" s="28">
        <f>1+2</f>
        <v>3</v>
      </c>
      <c r="E63" s="52">
        <v>307.5</v>
      </c>
      <c r="F63" s="102">
        <f t="shared" si="0"/>
        <v>922.5</v>
      </c>
      <c r="G63" s="38"/>
    </row>
    <row r="64" spans="1:7" ht="18.75" x14ac:dyDescent="0.25">
      <c r="A64" s="99"/>
      <c r="B64" s="35">
        <v>43099</v>
      </c>
      <c r="C64" s="27" t="s">
        <v>148</v>
      </c>
      <c r="D64" s="28">
        <v>2500</v>
      </c>
      <c r="E64" s="52">
        <v>1.1000000000000001</v>
      </c>
      <c r="F64" s="102">
        <f t="shared" si="0"/>
        <v>2750</v>
      </c>
      <c r="G64" s="38"/>
    </row>
    <row r="65" spans="1:7" ht="18.75" x14ac:dyDescent="0.25">
      <c r="A65" s="99"/>
      <c r="B65" s="35">
        <v>43099</v>
      </c>
      <c r="C65" s="27" t="s">
        <v>148</v>
      </c>
      <c r="D65" s="28">
        <v>928</v>
      </c>
      <c r="E65" s="52">
        <v>1.1000000000000001</v>
      </c>
      <c r="F65" s="102">
        <f t="shared" si="0"/>
        <v>1020.8000000000001</v>
      </c>
      <c r="G65" s="38"/>
    </row>
    <row r="66" spans="1:7" ht="18.75" x14ac:dyDescent="0.25">
      <c r="A66" s="99"/>
      <c r="B66" s="35">
        <v>43099</v>
      </c>
      <c r="C66" s="27" t="s">
        <v>148</v>
      </c>
      <c r="D66" s="28">
        <v>1000</v>
      </c>
      <c r="E66" s="52">
        <v>2</v>
      </c>
      <c r="F66" s="102">
        <f t="shared" si="0"/>
        <v>2000</v>
      </c>
      <c r="G66" s="38"/>
    </row>
    <row r="67" spans="1:7" ht="18.75" x14ac:dyDescent="0.25">
      <c r="A67" s="99"/>
      <c r="B67" s="35">
        <v>43099</v>
      </c>
      <c r="C67" s="27" t="s">
        <v>148</v>
      </c>
      <c r="D67" s="28">
        <v>350</v>
      </c>
      <c r="E67" s="52">
        <v>1.1000000000000001</v>
      </c>
      <c r="F67" s="102">
        <f t="shared" si="0"/>
        <v>385.00000000000006</v>
      </c>
      <c r="G67" s="38"/>
    </row>
    <row r="68" spans="1:7" ht="18.75" x14ac:dyDescent="0.25">
      <c r="A68" s="44" t="s">
        <v>232</v>
      </c>
      <c r="B68" s="35">
        <v>43099</v>
      </c>
      <c r="C68" s="27" t="s">
        <v>149</v>
      </c>
      <c r="D68" s="28">
        <f>93+30</f>
        <v>123</v>
      </c>
      <c r="E68" s="52">
        <v>26.7</v>
      </c>
      <c r="F68" s="102">
        <f t="shared" si="0"/>
        <v>3284.1</v>
      </c>
      <c r="G68" s="38"/>
    </row>
    <row r="69" spans="1:7" ht="18.75" x14ac:dyDescent="0.25">
      <c r="A69" s="44" t="s">
        <v>232</v>
      </c>
      <c r="B69" s="35">
        <v>43099</v>
      </c>
      <c r="C69" s="27" t="s">
        <v>149</v>
      </c>
      <c r="D69" s="28">
        <f>31+230</f>
        <v>261</v>
      </c>
      <c r="E69" s="52">
        <v>26.7</v>
      </c>
      <c r="F69" s="102">
        <f t="shared" si="0"/>
        <v>6968.7</v>
      </c>
      <c r="G69" s="38"/>
    </row>
    <row r="70" spans="1:7" ht="18.75" x14ac:dyDescent="0.25">
      <c r="A70" s="44" t="s">
        <v>233</v>
      </c>
      <c r="B70" s="35">
        <v>43099</v>
      </c>
      <c r="C70" s="27" t="s">
        <v>150</v>
      </c>
      <c r="D70" s="28">
        <v>5</v>
      </c>
      <c r="E70" s="52">
        <v>260</v>
      </c>
      <c r="F70" s="102">
        <f t="shared" ref="F70:F78" si="1">D70*E70</f>
        <v>1300</v>
      </c>
      <c r="G70" s="36"/>
    </row>
    <row r="71" spans="1:7" ht="18.75" x14ac:dyDescent="0.25">
      <c r="A71" s="44" t="s">
        <v>233</v>
      </c>
      <c r="B71" s="35">
        <v>43099</v>
      </c>
      <c r="C71" s="27" t="s">
        <v>150</v>
      </c>
      <c r="D71" s="28">
        <f>420+11900</f>
        <v>12320</v>
      </c>
      <c r="E71" s="52">
        <v>2.2400000000000002</v>
      </c>
      <c r="F71" s="102">
        <f t="shared" si="1"/>
        <v>27596.800000000003</v>
      </c>
      <c r="G71" s="36"/>
    </row>
    <row r="72" spans="1:7" ht="18.75" x14ac:dyDescent="0.25">
      <c r="A72" s="44" t="s">
        <v>233</v>
      </c>
      <c r="B72" s="35">
        <v>43099</v>
      </c>
      <c r="C72" s="27" t="s">
        <v>150</v>
      </c>
      <c r="D72" s="28">
        <v>13</v>
      </c>
      <c r="E72" s="52"/>
      <c r="F72" s="102">
        <f t="shared" si="1"/>
        <v>0</v>
      </c>
      <c r="G72" s="36"/>
    </row>
    <row r="73" spans="1:7" ht="18.75" x14ac:dyDescent="0.25">
      <c r="A73" s="44" t="s">
        <v>233</v>
      </c>
      <c r="B73" s="35">
        <v>43099</v>
      </c>
      <c r="C73" s="27" t="s">
        <v>150</v>
      </c>
      <c r="D73" s="28">
        <v>2</v>
      </c>
      <c r="E73" s="52">
        <v>16.52</v>
      </c>
      <c r="F73" s="102">
        <f t="shared" si="1"/>
        <v>33.04</v>
      </c>
      <c r="G73" s="36"/>
    </row>
    <row r="74" spans="1:7" ht="18.75" x14ac:dyDescent="0.25">
      <c r="A74" s="44" t="s">
        <v>233</v>
      </c>
      <c r="B74" s="35">
        <v>43099</v>
      </c>
      <c r="C74" s="27" t="s">
        <v>151</v>
      </c>
      <c r="D74" s="28">
        <f>200+14000</f>
        <v>14200</v>
      </c>
      <c r="E74" s="52">
        <v>2.2400000000000002</v>
      </c>
      <c r="F74" s="102">
        <f t="shared" si="1"/>
        <v>31808.000000000004</v>
      </c>
      <c r="G74" s="36"/>
    </row>
    <row r="75" spans="1:7" ht="18.75" x14ac:dyDescent="0.25">
      <c r="A75" s="44" t="s">
        <v>234</v>
      </c>
      <c r="B75" s="35">
        <v>43099</v>
      </c>
      <c r="C75" s="27" t="s">
        <v>152</v>
      </c>
      <c r="D75" s="28">
        <v>1195</v>
      </c>
      <c r="E75" s="52">
        <v>2.14</v>
      </c>
      <c r="F75" s="102">
        <f t="shared" si="1"/>
        <v>2557.3000000000002</v>
      </c>
      <c r="G75" s="36"/>
    </row>
    <row r="76" spans="1:7" ht="18.75" x14ac:dyDescent="0.25">
      <c r="A76" s="44" t="s">
        <v>234</v>
      </c>
      <c r="B76" s="35">
        <v>43099</v>
      </c>
      <c r="C76" s="27" t="s">
        <v>153</v>
      </c>
      <c r="D76" s="28">
        <f>1079+80</f>
        <v>1159</v>
      </c>
      <c r="E76" s="52">
        <v>2.14</v>
      </c>
      <c r="F76" s="102">
        <f t="shared" si="1"/>
        <v>2480.2600000000002</v>
      </c>
      <c r="G76" s="36"/>
    </row>
    <row r="77" spans="1:7" ht="18.75" x14ac:dyDescent="0.25">
      <c r="A77" s="44" t="s">
        <v>235</v>
      </c>
      <c r="B77" s="35">
        <v>43099</v>
      </c>
      <c r="C77" s="27" t="s">
        <v>154</v>
      </c>
      <c r="D77" s="28">
        <f>26+60</f>
        <v>86</v>
      </c>
      <c r="E77" s="52">
        <v>37.299999999999997</v>
      </c>
      <c r="F77" s="102">
        <f t="shared" si="1"/>
        <v>3207.7999999999997</v>
      </c>
      <c r="G77" s="36"/>
    </row>
    <row r="78" spans="1:7" ht="19.5" thickBot="1" x14ac:dyDescent="0.3">
      <c r="A78" s="107" t="s">
        <v>236</v>
      </c>
      <c r="B78" s="35">
        <v>43099</v>
      </c>
      <c r="C78" s="41" t="s">
        <v>155</v>
      </c>
      <c r="D78" s="42">
        <f>39+48</f>
        <v>87</v>
      </c>
      <c r="E78" s="108">
        <v>24.6</v>
      </c>
      <c r="F78" s="109">
        <f t="shared" si="1"/>
        <v>2140.2000000000003</v>
      </c>
      <c r="G78" s="36"/>
    </row>
    <row r="79" spans="1:7" ht="15.75" thickBot="1" x14ac:dyDescent="0.3">
      <c r="A79" s="160" t="s">
        <v>274</v>
      </c>
      <c r="B79" s="161"/>
      <c r="C79" s="161"/>
      <c r="D79" s="161"/>
      <c r="E79" s="161"/>
      <c r="F79" s="110">
        <f>SUM(F5:F78)</f>
        <v>3517010.96</v>
      </c>
      <c r="G79" s="36"/>
    </row>
    <row r="80" spans="1:7" x14ac:dyDescent="0.25">
      <c r="A80" s="36"/>
      <c r="B80" s="38"/>
      <c r="C80" s="37"/>
      <c r="D80" s="37"/>
      <c r="E80" s="39"/>
      <c r="F80" s="36"/>
      <c r="G80" s="36"/>
    </row>
    <row r="81" spans="1:6" ht="18.75" x14ac:dyDescent="0.25">
      <c r="A81" s="43" t="s">
        <v>236</v>
      </c>
      <c r="B81" s="35">
        <v>43099</v>
      </c>
      <c r="C81" s="50" t="s">
        <v>156</v>
      </c>
      <c r="D81" s="51">
        <v>38</v>
      </c>
      <c r="E81" s="52">
        <v>24.6</v>
      </c>
      <c r="F81" s="52">
        <f t="shared" ref="F81:F144" si="2">D81*E81</f>
        <v>934.80000000000007</v>
      </c>
    </row>
    <row r="82" spans="1:6" ht="18.75" x14ac:dyDescent="0.25">
      <c r="A82" s="43" t="s">
        <v>236</v>
      </c>
      <c r="B82" s="35">
        <v>43099</v>
      </c>
      <c r="C82" s="50" t="s">
        <v>156</v>
      </c>
      <c r="D82" s="51">
        <v>7</v>
      </c>
      <c r="E82" s="106">
        <v>24.6</v>
      </c>
      <c r="F82" s="52">
        <f t="shared" si="2"/>
        <v>172.20000000000002</v>
      </c>
    </row>
    <row r="83" spans="1:6" ht="18.75" x14ac:dyDescent="0.25">
      <c r="A83" s="43" t="s">
        <v>237</v>
      </c>
      <c r="B83" s="35">
        <v>43099</v>
      </c>
      <c r="C83" s="50" t="s">
        <v>157</v>
      </c>
      <c r="D83" s="51">
        <f>8+174</f>
        <v>182</v>
      </c>
      <c r="E83" s="106">
        <v>1475</v>
      </c>
      <c r="F83" s="52">
        <f t="shared" si="2"/>
        <v>268450</v>
      </c>
    </row>
    <row r="84" spans="1:6" ht="18.75" x14ac:dyDescent="0.25">
      <c r="A84" s="43" t="s">
        <v>238</v>
      </c>
      <c r="B84" s="35">
        <v>43099</v>
      </c>
      <c r="C84" s="50" t="s">
        <v>158</v>
      </c>
      <c r="D84" s="51">
        <v>35</v>
      </c>
      <c r="E84" s="52">
        <v>34</v>
      </c>
      <c r="F84" s="52">
        <f t="shared" si="2"/>
        <v>1190</v>
      </c>
    </row>
    <row r="85" spans="1:6" ht="18.75" x14ac:dyDescent="0.25">
      <c r="A85" s="43" t="s">
        <v>238</v>
      </c>
      <c r="B85" s="35">
        <v>43099</v>
      </c>
      <c r="C85" s="50" t="s">
        <v>159</v>
      </c>
      <c r="D85" s="51">
        <f>21+206</f>
        <v>227</v>
      </c>
      <c r="E85" s="52">
        <v>29.03</v>
      </c>
      <c r="F85" s="52">
        <f t="shared" si="2"/>
        <v>6589.81</v>
      </c>
    </row>
    <row r="86" spans="1:6" ht="18.75" x14ac:dyDescent="0.25">
      <c r="A86" s="43" t="s">
        <v>238</v>
      </c>
      <c r="B86" s="35">
        <v>43099</v>
      </c>
      <c r="C86" s="50" t="s">
        <v>159</v>
      </c>
      <c r="D86" s="51">
        <f>4+1</f>
        <v>5</v>
      </c>
      <c r="E86" s="52">
        <v>47.2</v>
      </c>
      <c r="F86" s="52">
        <f t="shared" si="2"/>
        <v>236</v>
      </c>
    </row>
    <row r="87" spans="1:6" ht="18.75" x14ac:dyDescent="0.25">
      <c r="A87" s="43" t="s">
        <v>239</v>
      </c>
      <c r="B87" s="35">
        <v>43099</v>
      </c>
      <c r="C87" s="50" t="s">
        <v>160</v>
      </c>
      <c r="D87" s="51">
        <v>0</v>
      </c>
      <c r="E87" s="52"/>
      <c r="F87" s="52">
        <f t="shared" si="2"/>
        <v>0</v>
      </c>
    </row>
    <row r="88" spans="1:6" ht="18.75" x14ac:dyDescent="0.25">
      <c r="A88" s="43" t="s">
        <v>240</v>
      </c>
      <c r="B88" s="35">
        <v>43099</v>
      </c>
      <c r="C88" s="50" t="s">
        <v>161</v>
      </c>
      <c r="D88" s="51">
        <v>39</v>
      </c>
      <c r="E88" s="52">
        <v>7.79</v>
      </c>
      <c r="F88" s="52">
        <f t="shared" si="2"/>
        <v>303.81</v>
      </c>
    </row>
    <row r="89" spans="1:6" ht="18.75" x14ac:dyDescent="0.25">
      <c r="A89" s="43" t="s">
        <v>241</v>
      </c>
      <c r="B89" s="35">
        <v>43099</v>
      </c>
      <c r="C89" s="50" t="s">
        <v>162</v>
      </c>
      <c r="D89" s="51">
        <v>78</v>
      </c>
      <c r="E89" s="52">
        <v>3.17</v>
      </c>
      <c r="F89" s="52">
        <f t="shared" si="2"/>
        <v>247.26</v>
      </c>
    </row>
    <row r="90" spans="1:6" ht="18.75" x14ac:dyDescent="0.25">
      <c r="A90" s="43" t="s">
        <v>241</v>
      </c>
      <c r="B90" s="35">
        <v>43099</v>
      </c>
      <c r="C90" s="50" t="s">
        <v>163</v>
      </c>
      <c r="D90" s="51">
        <v>35990</v>
      </c>
      <c r="E90" s="52">
        <v>0.65</v>
      </c>
      <c r="F90" s="52">
        <f t="shared" si="2"/>
        <v>23393.5</v>
      </c>
    </row>
    <row r="91" spans="1:6" ht="18.75" x14ac:dyDescent="0.25">
      <c r="A91" s="43" t="s">
        <v>241</v>
      </c>
      <c r="B91" s="35">
        <v>43099</v>
      </c>
      <c r="C91" s="50" t="s">
        <v>163</v>
      </c>
      <c r="D91" s="51">
        <v>8060</v>
      </c>
      <c r="E91" s="52">
        <v>0.55000000000000004</v>
      </c>
      <c r="F91" s="52">
        <f t="shared" si="2"/>
        <v>4433</v>
      </c>
    </row>
    <row r="92" spans="1:6" ht="18.75" x14ac:dyDescent="0.25">
      <c r="A92" s="43" t="s">
        <v>242</v>
      </c>
      <c r="B92" s="35">
        <v>43099</v>
      </c>
      <c r="C92" s="50" t="s">
        <v>164</v>
      </c>
      <c r="D92" s="51">
        <v>26</v>
      </c>
      <c r="E92" s="52">
        <v>4.63</v>
      </c>
      <c r="F92" s="52">
        <f t="shared" si="2"/>
        <v>120.38</v>
      </c>
    </row>
    <row r="93" spans="1:6" ht="18.75" x14ac:dyDescent="0.25">
      <c r="A93" s="43" t="s">
        <v>242</v>
      </c>
      <c r="B93" s="35">
        <v>43099</v>
      </c>
      <c r="C93" s="50" t="s">
        <v>164</v>
      </c>
      <c r="D93" s="51">
        <f>935+432</f>
        <v>1367</v>
      </c>
      <c r="E93" s="52">
        <v>3.63</v>
      </c>
      <c r="F93" s="52">
        <f t="shared" si="2"/>
        <v>4962.21</v>
      </c>
    </row>
    <row r="94" spans="1:6" ht="18.75" x14ac:dyDescent="0.25">
      <c r="A94" s="43" t="s">
        <v>243</v>
      </c>
      <c r="B94" s="35">
        <v>43099</v>
      </c>
      <c r="C94" s="50" t="s">
        <v>165</v>
      </c>
      <c r="D94" s="51">
        <f>11+21</f>
        <v>32</v>
      </c>
      <c r="E94" s="52">
        <v>7.08</v>
      </c>
      <c r="F94" s="52">
        <f t="shared" si="2"/>
        <v>226.56</v>
      </c>
    </row>
    <row r="95" spans="1:6" ht="18.75" x14ac:dyDescent="0.25">
      <c r="A95" s="43" t="s">
        <v>243</v>
      </c>
      <c r="B95" s="35">
        <v>43099</v>
      </c>
      <c r="C95" s="50" t="s">
        <v>166</v>
      </c>
      <c r="D95" s="51">
        <v>595</v>
      </c>
      <c r="E95" s="52">
        <v>11.02</v>
      </c>
      <c r="F95" s="52">
        <f t="shared" si="2"/>
        <v>6556.9</v>
      </c>
    </row>
    <row r="96" spans="1:6" ht="18.75" x14ac:dyDescent="0.25">
      <c r="A96" s="43" t="s">
        <v>243</v>
      </c>
      <c r="B96" s="35">
        <v>43099</v>
      </c>
      <c r="C96" s="50" t="s">
        <v>167</v>
      </c>
      <c r="D96" s="51">
        <v>493</v>
      </c>
      <c r="E96" s="52">
        <v>3.08</v>
      </c>
      <c r="F96" s="52">
        <f t="shared" si="2"/>
        <v>1518.44</v>
      </c>
    </row>
    <row r="97" spans="1:6" ht="18.75" x14ac:dyDescent="0.25">
      <c r="A97" s="43" t="s">
        <v>244</v>
      </c>
      <c r="B97" s="35">
        <v>43099</v>
      </c>
      <c r="C97" s="50" t="s">
        <v>168</v>
      </c>
      <c r="D97" s="51">
        <f>161+3608</f>
        <v>3769</v>
      </c>
      <c r="E97" s="52">
        <v>22</v>
      </c>
      <c r="F97" s="52">
        <f t="shared" si="2"/>
        <v>82918</v>
      </c>
    </row>
    <row r="98" spans="1:6" ht="18.75" x14ac:dyDescent="0.25">
      <c r="A98" s="43" t="s">
        <v>244</v>
      </c>
      <c r="B98" s="35">
        <v>43099</v>
      </c>
      <c r="C98" s="50" t="s">
        <v>168</v>
      </c>
      <c r="D98" s="51">
        <v>1034</v>
      </c>
      <c r="E98" s="52">
        <v>18</v>
      </c>
      <c r="F98" s="52">
        <f t="shared" si="2"/>
        <v>18612</v>
      </c>
    </row>
    <row r="99" spans="1:6" ht="18.75" x14ac:dyDescent="0.25">
      <c r="A99" s="43" t="s">
        <v>244</v>
      </c>
      <c r="B99" s="35">
        <v>43099</v>
      </c>
      <c r="C99" s="50" t="s">
        <v>168</v>
      </c>
      <c r="D99" s="51">
        <f>174+636</f>
        <v>810</v>
      </c>
      <c r="E99" s="52">
        <v>22</v>
      </c>
      <c r="F99" s="52">
        <f t="shared" si="2"/>
        <v>17820</v>
      </c>
    </row>
    <row r="100" spans="1:6" ht="18.75" x14ac:dyDescent="0.25">
      <c r="A100" s="43" t="s">
        <v>244</v>
      </c>
      <c r="B100" s="35">
        <v>43099</v>
      </c>
      <c r="C100" s="50" t="s">
        <v>168</v>
      </c>
      <c r="D100" s="51">
        <f>624+864</f>
        <v>1488</v>
      </c>
      <c r="E100" s="52">
        <v>18</v>
      </c>
      <c r="F100" s="52">
        <f t="shared" si="2"/>
        <v>26784</v>
      </c>
    </row>
    <row r="101" spans="1:6" ht="18.75" x14ac:dyDescent="0.25">
      <c r="A101" s="43" t="s">
        <v>245</v>
      </c>
      <c r="B101" s="35">
        <v>43099</v>
      </c>
      <c r="C101" s="50" t="s">
        <v>169</v>
      </c>
      <c r="D101" s="51">
        <f>5+66</f>
        <v>71</v>
      </c>
      <c r="E101" s="52">
        <v>299.01</v>
      </c>
      <c r="F101" s="52">
        <f t="shared" si="2"/>
        <v>21229.71</v>
      </c>
    </row>
    <row r="102" spans="1:6" ht="18.75" x14ac:dyDescent="0.25">
      <c r="A102" s="43" t="s">
        <v>246</v>
      </c>
      <c r="B102" s="35">
        <v>43099</v>
      </c>
      <c r="C102" s="50" t="s">
        <v>170</v>
      </c>
      <c r="D102" s="51">
        <f>24+47</f>
        <v>71</v>
      </c>
      <c r="E102" s="52">
        <v>23</v>
      </c>
      <c r="F102" s="52">
        <f t="shared" si="2"/>
        <v>1633</v>
      </c>
    </row>
    <row r="103" spans="1:6" ht="18.75" x14ac:dyDescent="0.25">
      <c r="A103" s="43" t="s">
        <v>247</v>
      </c>
      <c r="B103" s="35">
        <v>43099</v>
      </c>
      <c r="C103" s="50" t="s">
        <v>171</v>
      </c>
      <c r="D103" s="51">
        <v>2</v>
      </c>
      <c r="E103" s="52">
        <v>302.5</v>
      </c>
      <c r="F103" s="52">
        <f t="shared" si="2"/>
        <v>605</v>
      </c>
    </row>
    <row r="104" spans="1:6" ht="18.75" x14ac:dyDescent="0.25">
      <c r="A104" s="43" t="s">
        <v>248</v>
      </c>
      <c r="B104" s="35">
        <v>43099</v>
      </c>
      <c r="C104" s="50" t="s">
        <v>172</v>
      </c>
      <c r="D104" s="51">
        <v>7</v>
      </c>
      <c r="E104" s="52">
        <v>1180</v>
      </c>
      <c r="F104" s="52">
        <f t="shared" si="2"/>
        <v>8260</v>
      </c>
    </row>
    <row r="105" spans="1:6" ht="18.75" x14ac:dyDescent="0.25">
      <c r="A105" s="43" t="s">
        <v>249</v>
      </c>
      <c r="B105" s="35">
        <v>43099</v>
      </c>
      <c r="C105" s="50" t="s">
        <v>173</v>
      </c>
      <c r="D105" s="51">
        <f>54+17</f>
        <v>71</v>
      </c>
      <c r="E105" s="52">
        <v>195</v>
      </c>
      <c r="F105" s="52">
        <f t="shared" si="2"/>
        <v>13845</v>
      </c>
    </row>
    <row r="106" spans="1:6" ht="18.75" x14ac:dyDescent="0.25">
      <c r="A106" s="43" t="s">
        <v>250</v>
      </c>
      <c r="B106" s="35">
        <v>43099</v>
      </c>
      <c r="C106" s="50" t="s">
        <v>174</v>
      </c>
      <c r="D106" s="51">
        <f>158+468</f>
        <v>626</v>
      </c>
      <c r="E106" s="52">
        <v>6.77</v>
      </c>
      <c r="F106" s="52">
        <f t="shared" si="2"/>
        <v>4238.0199999999995</v>
      </c>
    </row>
    <row r="107" spans="1:6" ht="18.75" x14ac:dyDescent="0.25">
      <c r="A107" s="43" t="s">
        <v>250</v>
      </c>
      <c r="B107" s="35">
        <v>43099</v>
      </c>
      <c r="C107" s="50" t="s">
        <v>174</v>
      </c>
      <c r="D107" s="51">
        <v>468</v>
      </c>
      <c r="E107" s="52">
        <v>6.77</v>
      </c>
      <c r="F107" s="52">
        <f t="shared" si="2"/>
        <v>3168.3599999999997</v>
      </c>
    </row>
    <row r="108" spans="1:6" ht="18.75" x14ac:dyDescent="0.25">
      <c r="A108" s="43" t="s">
        <v>250</v>
      </c>
      <c r="B108" s="35">
        <v>43099</v>
      </c>
      <c r="C108" s="50" t="s">
        <v>175</v>
      </c>
      <c r="D108" s="51">
        <v>71</v>
      </c>
      <c r="E108" s="52">
        <v>6.77</v>
      </c>
      <c r="F108" s="52">
        <f t="shared" si="2"/>
        <v>480.66999999999996</v>
      </c>
    </row>
    <row r="109" spans="1:6" ht="18.75" x14ac:dyDescent="0.25">
      <c r="A109" s="43" t="s">
        <v>250</v>
      </c>
      <c r="B109" s="35">
        <v>43099</v>
      </c>
      <c r="C109" s="50" t="s">
        <v>176</v>
      </c>
      <c r="D109" s="51">
        <v>45</v>
      </c>
      <c r="E109" s="52">
        <v>6.77</v>
      </c>
      <c r="F109" s="52">
        <f t="shared" si="2"/>
        <v>304.64999999999998</v>
      </c>
    </row>
    <row r="110" spans="1:6" ht="18.75" x14ac:dyDescent="0.25">
      <c r="A110" s="43" t="s">
        <v>252</v>
      </c>
      <c r="B110" s="35">
        <v>43099</v>
      </c>
      <c r="C110" s="50" t="s">
        <v>177</v>
      </c>
      <c r="D110" s="51">
        <v>3</v>
      </c>
      <c r="E110" s="52">
        <v>5</v>
      </c>
      <c r="F110" s="52">
        <f t="shared" si="2"/>
        <v>15</v>
      </c>
    </row>
    <row r="111" spans="1:6" ht="18.75" x14ac:dyDescent="0.25">
      <c r="A111" s="43" t="s">
        <v>252</v>
      </c>
      <c r="B111" s="35">
        <v>43099</v>
      </c>
      <c r="C111" s="50" t="s">
        <v>177</v>
      </c>
      <c r="D111" s="51">
        <v>9</v>
      </c>
      <c r="E111" s="52">
        <v>5</v>
      </c>
      <c r="F111" s="52">
        <f t="shared" si="2"/>
        <v>45</v>
      </c>
    </row>
    <row r="112" spans="1:6" ht="18.75" x14ac:dyDescent="0.25">
      <c r="A112" s="43" t="s">
        <v>253</v>
      </c>
      <c r="B112" s="35">
        <v>43099</v>
      </c>
      <c r="C112" s="50" t="s">
        <v>178</v>
      </c>
      <c r="D112" s="51">
        <v>20</v>
      </c>
      <c r="E112" s="52">
        <v>607</v>
      </c>
      <c r="F112" s="52">
        <f t="shared" si="2"/>
        <v>12140</v>
      </c>
    </row>
    <row r="113" spans="1:6" ht="18.75" x14ac:dyDescent="0.25">
      <c r="A113" s="43" t="s">
        <v>253</v>
      </c>
      <c r="B113" s="35">
        <v>43099</v>
      </c>
      <c r="C113" s="50" t="s">
        <v>179</v>
      </c>
      <c r="D113" s="51">
        <v>99</v>
      </c>
      <c r="E113" s="52">
        <v>607</v>
      </c>
      <c r="F113" s="52">
        <f t="shared" si="2"/>
        <v>60093</v>
      </c>
    </row>
    <row r="114" spans="1:6" ht="18.75" x14ac:dyDescent="0.25">
      <c r="A114" s="116"/>
      <c r="B114" s="35">
        <v>43099</v>
      </c>
      <c r="C114" s="50" t="s">
        <v>180</v>
      </c>
      <c r="D114" s="51">
        <v>635</v>
      </c>
      <c r="E114" s="52">
        <v>5</v>
      </c>
      <c r="F114" s="52">
        <f t="shared" si="2"/>
        <v>3175</v>
      </c>
    </row>
    <row r="115" spans="1:6" ht="18.75" x14ac:dyDescent="0.25">
      <c r="A115" s="116"/>
      <c r="B115" s="35">
        <v>43099</v>
      </c>
      <c r="C115" s="50" t="s">
        <v>181</v>
      </c>
      <c r="D115" s="51">
        <v>33</v>
      </c>
      <c r="E115" s="52">
        <v>5</v>
      </c>
      <c r="F115" s="52">
        <f t="shared" si="2"/>
        <v>165</v>
      </c>
    </row>
    <row r="116" spans="1:6" ht="18.75" x14ac:dyDescent="0.25">
      <c r="A116" s="43" t="s">
        <v>254</v>
      </c>
      <c r="B116" s="35">
        <v>43099</v>
      </c>
      <c r="C116" s="50" t="s">
        <v>182</v>
      </c>
      <c r="D116" s="51">
        <v>72</v>
      </c>
      <c r="E116" s="52">
        <v>92.8</v>
      </c>
      <c r="F116" s="52">
        <f t="shared" si="2"/>
        <v>6681.5999999999995</v>
      </c>
    </row>
    <row r="117" spans="1:6" ht="18.75" x14ac:dyDescent="0.25">
      <c r="A117" s="43" t="s">
        <v>254</v>
      </c>
      <c r="B117" s="35">
        <v>43099</v>
      </c>
      <c r="C117" s="50" t="s">
        <v>182</v>
      </c>
      <c r="D117" s="51">
        <v>59</v>
      </c>
      <c r="E117" s="52">
        <v>76.14</v>
      </c>
      <c r="F117" s="52">
        <f t="shared" si="2"/>
        <v>4492.26</v>
      </c>
    </row>
    <row r="118" spans="1:6" ht="18.75" x14ac:dyDescent="0.25">
      <c r="A118" s="43" t="s">
        <v>254</v>
      </c>
      <c r="B118" s="35">
        <v>43099</v>
      </c>
      <c r="C118" s="50" t="s">
        <v>182</v>
      </c>
      <c r="D118" s="51">
        <v>236</v>
      </c>
      <c r="E118" s="52">
        <v>68.88</v>
      </c>
      <c r="F118" s="52">
        <f t="shared" si="2"/>
        <v>16255.679999999998</v>
      </c>
    </row>
    <row r="119" spans="1:6" ht="18.75" x14ac:dyDescent="0.25">
      <c r="A119" s="43" t="s">
        <v>254</v>
      </c>
      <c r="B119" s="35">
        <v>43099</v>
      </c>
      <c r="C119" s="50" t="s">
        <v>182</v>
      </c>
      <c r="D119" s="51">
        <v>239</v>
      </c>
      <c r="E119" s="52">
        <v>17.12</v>
      </c>
      <c r="F119" s="52">
        <f t="shared" si="2"/>
        <v>4091.6800000000003</v>
      </c>
    </row>
    <row r="120" spans="1:6" ht="18.75" x14ac:dyDescent="0.25">
      <c r="A120" s="43" t="s">
        <v>255</v>
      </c>
      <c r="B120" s="35">
        <v>43099</v>
      </c>
      <c r="C120" s="50" t="s">
        <v>183</v>
      </c>
      <c r="D120" s="51">
        <v>1750</v>
      </c>
      <c r="E120" s="52">
        <v>13.51</v>
      </c>
      <c r="F120" s="52">
        <f t="shared" si="2"/>
        <v>23642.5</v>
      </c>
    </row>
    <row r="121" spans="1:6" ht="18.75" x14ac:dyDescent="0.25">
      <c r="A121" s="43" t="s">
        <v>255</v>
      </c>
      <c r="B121" s="35">
        <v>43099</v>
      </c>
      <c r="C121" s="50" t="s">
        <v>183</v>
      </c>
      <c r="D121" s="51">
        <f>25+825</f>
        <v>850</v>
      </c>
      <c r="E121" s="52">
        <v>13.51</v>
      </c>
      <c r="F121" s="52">
        <f t="shared" si="2"/>
        <v>11483.5</v>
      </c>
    </row>
    <row r="122" spans="1:6" ht="18.75" x14ac:dyDescent="0.25">
      <c r="A122" s="43" t="s">
        <v>256</v>
      </c>
      <c r="B122" s="35">
        <v>43099</v>
      </c>
      <c r="C122" s="50" t="s">
        <v>184</v>
      </c>
      <c r="D122" s="51">
        <f>11+34</f>
        <v>45</v>
      </c>
      <c r="E122" s="52">
        <v>188</v>
      </c>
      <c r="F122" s="52">
        <f t="shared" si="2"/>
        <v>8460</v>
      </c>
    </row>
    <row r="123" spans="1:6" ht="18.75" x14ac:dyDescent="0.25">
      <c r="A123" s="116"/>
      <c r="B123" s="35">
        <v>43099</v>
      </c>
      <c r="C123" s="50" t="s">
        <v>185</v>
      </c>
      <c r="D123" s="51">
        <v>294</v>
      </c>
      <c r="E123" s="52">
        <v>13</v>
      </c>
      <c r="F123" s="52">
        <f t="shared" si="2"/>
        <v>3822</v>
      </c>
    </row>
    <row r="124" spans="1:6" ht="18.75" x14ac:dyDescent="0.25">
      <c r="A124" s="116"/>
      <c r="B124" s="35">
        <v>43099</v>
      </c>
      <c r="C124" s="50" t="s">
        <v>186</v>
      </c>
      <c r="D124" s="51">
        <v>4</v>
      </c>
      <c r="E124" s="52">
        <v>6.5</v>
      </c>
      <c r="F124" s="52">
        <f t="shared" si="2"/>
        <v>26</v>
      </c>
    </row>
    <row r="125" spans="1:6" ht="18.75" x14ac:dyDescent="0.25">
      <c r="A125" s="43" t="s">
        <v>257</v>
      </c>
      <c r="B125" s="35">
        <v>43099</v>
      </c>
      <c r="C125" s="50" t="s">
        <v>187</v>
      </c>
      <c r="D125" s="51">
        <f>2+7</f>
        <v>9</v>
      </c>
      <c r="E125" s="52">
        <v>1711</v>
      </c>
      <c r="F125" s="52">
        <f t="shared" si="2"/>
        <v>15399</v>
      </c>
    </row>
    <row r="126" spans="1:6" ht="18.75" x14ac:dyDescent="0.25">
      <c r="A126" s="43" t="s">
        <v>257</v>
      </c>
      <c r="B126" s="35">
        <v>43099</v>
      </c>
      <c r="C126" s="50" t="s">
        <v>187</v>
      </c>
      <c r="D126" s="51">
        <f>1+4</f>
        <v>5</v>
      </c>
      <c r="E126" s="52">
        <v>1713</v>
      </c>
      <c r="F126" s="52">
        <f t="shared" si="2"/>
        <v>8565</v>
      </c>
    </row>
    <row r="127" spans="1:6" s="21" customFormat="1" ht="18.75" x14ac:dyDescent="0.25">
      <c r="A127" s="43" t="s">
        <v>257</v>
      </c>
      <c r="B127" s="35">
        <v>43099</v>
      </c>
      <c r="C127" s="50" t="s">
        <v>187</v>
      </c>
      <c r="D127" s="51">
        <v>1</v>
      </c>
      <c r="E127" s="52"/>
      <c r="F127" s="52"/>
    </row>
    <row r="128" spans="1:6" ht="18.75" x14ac:dyDescent="0.25">
      <c r="A128" s="43" t="s">
        <v>257</v>
      </c>
      <c r="B128" s="35">
        <v>43099</v>
      </c>
      <c r="C128" s="50" t="s">
        <v>188</v>
      </c>
      <c r="D128" s="51">
        <v>12</v>
      </c>
      <c r="E128" s="52">
        <v>1712</v>
      </c>
      <c r="F128" s="52">
        <f t="shared" si="2"/>
        <v>20544</v>
      </c>
    </row>
    <row r="129" spans="1:6" ht="18.75" x14ac:dyDescent="0.25">
      <c r="A129" s="43" t="s">
        <v>258</v>
      </c>
      <c r="B129" s="35">
        <v>43099</v>
      </c>
      <c r="C129" s="50" t="s">
        <v>189</v>
      </c>
      <c r="D129" s="51">
        <v>2</v>
      </c>
      <c r="E129" s="52">
        <v>23</v>
      </c>
      <c r="F129" s="52">
        <f t="shared" si="2"/>
        <v>46</v>
      </c>
    </row>
    <row r="130" spans="1:6" ht="18.75" x14ac:dyDescent="0.25">
      <c r="A130" s="43" t="s">
        <v>259</v>
      </c>
      <c r="B130" s="35">
        <v>43099</v>
      </c>
      <c r="C130" s="50" t="s">
        <v>190</v>
      </c>
      <c r="D130" s="51">
        <v>10</v>
      </c>
      <c r="E130" s="52">
        <v>10.5</v>
      </c>
      <c r="F130" s="52">
        <f t="shared" si="2"/>
        <v>105</v>
      </c>
    </row>
    <row r="131" spans="1:6" ht="18.75" x14ac:dyDescent="0.25">
      <c r="A131" s="43" t="s">
        <v>260</v>
      </c>
      <c r="B131" s="35">
        <v>43099</v>
      </c>
      <c r="C131" s="50" t="s">
        <v>191</v>
      </c>
      <c r="D131" s="51">
        <v>1</v>
      </c>
      <c r="E131" s="52">
        <v>6.03</v>
      </c>
      <c r="F131" s="52">
        <f t="shared" si="2"/>
        <v>6.03</v>
      </c>
    </row>
    <row r="132" spans="1:6" ht="18.75" x14ac:dyDescent="0.25">
      <c r="A132" s="116"/>
      <c r="B132" s="35">
        <v>43099</v>
      </c>
      <c r="C132" s="50" t="s">
        <v>192</v>
      </c>
      <c r="D132" s="51">
        <f>36+72</f>
        <v>108</v>
      </c>
      <c r="E132" s="52">
        <v>9.43</v>
      </c>
      <c r="F132" s="52">
        <f t="shared" si="2"/>
        <v>1018.4399999999999</v>
      </c>
    </row>
    <row r="133" spans="1:6" ht="18.75" x14ac:dyDescent="0.25">
      <c r="A133" s="116"/>
      <c r="B133" s="35">
        <v>43099</v>
      </c>
      <c r="C133" s="50" t="s">
        <v>192</v>
      </c>
      <c r="D133" s="51">
        <v>448</v>
      </c>
      <c r="E133" s="52">
        <v>9.43</v>
      </c>
      <c r="F133" s="52">
        <f t="shared" si="2"/>
        <v>4224.6399999999994</v>
      </c>
    </row>
    <row r="134" spans="1:6" ht="18.75" x14ac:dyDescent="0.25">
      <c r="A134" s="116"/>
      <c r="B134" s="35">
        <v>43099</v>
      </c>
      <c r="C134" s="50" t="s">
        <v>192</v>
      </c>
      <c r="D134" s="51">
        <f>45+20</f>
        <v>65</v>
      </c>
      <c r="E134" s="52">
        <v>9.43</v>
      </c>
      <c r="F134" s="52">
        <f t="shared" si="2"/>
        <v>612.94999999999993</v>
      </c>
    </row>
    <row r="135" spans="1:6" ht="18.75" x14ac:dyDescent="0.25">
      <c r="A135" s="116"/>
      <c r="B135" s="35">
        <v>43099</v>
      </c>
      <c r="C135" s="50" t="s">
        <v>192</v>
      </c>
      <c r="D135" s="51">
        <f>72+45</f>
        <v>117</v>
      </c>
      <c r="E135" s="52">
        <v>9.43</v>
      </c>
      <c r="F135" s="52">
        <f t="shared" si="2"/>
        <v>1103.31</v>
      </c>
    </row>
    <row r="136" spans="1:6" ht="18.75" x14ac:dyDescent="0.25">
      <c r="A136" s="116"/>
      <c r="B136" s="35">
        <v>43099</v>
      </c>
      <c r="C136" s="50" t="s">
        <v>192</v>
      </c>
      <c r="D136" s="51">
        <f>42+108</f>
        <v>150</v>
      </c>
      <c r="E136" s="52">
        <v>9.43</v>
      </c>
      <c r="F136" s="52">
        <f t="shared" si="2"/>
        <v>1414.5</v>
      </c>
    </row>
    <row r="137" spans="1:6" ht="18.75" x14ac:dyDescent="0.25">
      <c r="A137" s="43" t="s">
        <v>251</v>
      </c>
      <c r="B137" s="35">
        <v>43099</v>
      </c>
      <c r="C137" s="50" t="s">
        <v>193</v>
      </c>
      <c r="D137" s="51">
        <f>102+2040</f>
        <v>2142</v>
      </c>
      <c r="E137" s="52">
        <v>141.94999999999999</v>
      </c>
      <c r="F137" s="52">
        <f t="shared" si="2"/>
        <v>304056.89999999997</v>
      </c>
    </row>
    <row r="138" spans="1:6" ht="18.75" x14ac:dyDescent="0.25">
      <c r="A138" s="43" t="s">
        <v>251</v>
      </c>
      <c r="B138" s="35">
        <v>43099</v>
      </c>
      <c r="C138" s="50" t="s">
        <v>193</v>
      </c>
      <c r="D138" s="51">
        <f>14+513</f>
        <v>527</v>
      </c>
      <c r="E138" s="52">
        <v>188.80199999999999</v>
      </c>
      <c r="F138" s="52">
        <f t="shared" si="2"/>
        <v>99498.653999999995</v>
      </c>
    </row>
    <row r="139" spans="1:6" ht="18.75" x14ac:dyDescent="0.25">
      <c r="A139" s="43" t="s">
        <v>251</v>
      </c>
      <c r="B139" s="35">
        <v>43099</v>
      </c>
      <c r="C139" s="50" t="s">
        <v>193</v>
      </c>
      <c r="D139" s="51">
        <v>2</v>
      </c>
      <c r="E139" s="52">
        <v>188.8</v>
      </c>
      <c r="F139" s="52">
        <f t="shared" si="2"/>
        <v>377.6</v>
      </c>
    </row>
    <row r="140" spans="1:6" ht="18.75" x14ac:dyDescent="0.25">
      <c r="A140" s="43" t="s">
        <v>251</v>
      </c>
      <c r="B140" s="35">
        <v>43099</v>
      </c>
      <c r="C140" s="50" t="s">
        <v>193</v>
      </c>
      <c r="D140" s="51">
        <f>24+10</f>
        <v>34</v>
      </c>
      <c r="E140" s="52">
        <v>464.4</v>
      </c>
      <c r="F140" s="52">
        <f t="shared" si="2"/>
        <v>15789.599999999999</v>
      </c>
    </row>
    <row r="141" spans="1:6" ht="18.75" x14ac:dyDescent="0.25">
      <c r="A141" s="43" t="s">
        <v>251</v>
      </c>
      <c r="B141" s="35">
        <v>43099</v>
      </c>
      <c r="C141" s="50" t="s">
        <v>193</v>
      </c>
      <c r="D141" s="51">
        <f>47+10</f>
        <v>57</v>
      </c>
      <c r="E141" s="52">
        <v>467.4</v>
      </c>
      <c r="F141" s="52">
        <f t="shared" si="2"/>
        <v>26641.8</v>
      </c>
    </row>
    <row r="142" spans="1:6" ht="18.75" x14ac:dyDescent="0.25">
      <c r="A142" s="43" t="s">
        <v>251</v>
      </c>
      <c r="B142" s="35">
        <v>43099</v>
      </c>
      <c r="C142" s="50" t="s">
        <v>193</v>
      </c>
      <c r="D142" s="51">
        <f>3+15</f>
        <v>18</v>
      </c>
      <c r="E142" s="52">
        <v>141.94999999999999</v>
      </c>
      <c r="F142" s="52">
        <f t="shared" si="2"/>
        <v>2555.1</v>
      </c>
    </row>
    <row r="143" spans="1:6" ht="18.75" x14ac:dyDescent="0.25">
      <c r="A143" s="116"/>
      <c r="B143" s="35">
        <v>43099</v>
      </c>
      <c r="C143" s="50" t="s">
        <v>194</v>
      </c>
      <c r="D143" s="51">
        <f>10+40</f>
        <v>50</v>
      </c>
      <c r="E143" s="52">
        <v>460.2</v>
      </c>
      <c r="F143" s="52">
        <f t="shared" si="2"/>
        <v>23010</v>
      </c>
    </row>
    <row r="144" spans="1:6" ht="18.75" x14ac:dyDescent="0.25">
      <c r="A144" s="116"/>
      <c r="B144" s="35">
        <v>43099</v>
      </c>
      <c r="C144" s="50" t="s">
        <v>194</v>
      </c>
      <c r="D144" s="51">
        <f>1+13</f>
        <v>14</v>
      </c>
      <c r="E144" s="52">
        <v>460.2</v>
      </c>
      <c r="F144" s="52">
        <f t="shared" si="2"/>
        <v>6442.8</v>
      </c>
    </row>
    <row r="145" spans="1:6" ht="18.75" x14ac:dyDescent="0.25">
      <c r="A145" s="116"/>
      <c r="B145" s="35">
        <v>43099</v>
      </c>
      <c r="C145" s="50" t="s">
        <v>195</v>
      </c>
      <c r="D145" s="51">
        <v>3</v>
      </c>
      <c r="E145" s="52">
        <v>14.15</v>
      </c>
      <c r="F145" s="52">
        <f t="shared" ref="F145:F164" si="3">D145*E145</f>
        <v>42.45</v>
      </c>
    </row>
    <row r="146" spans="1:6" ht="18.75" x14ac:dyDescent="0.25">
      <c r="A146" s="116"/>
      <c r="B146" s="35">
        <v>43099</v>
      </c>
      <c r="C146" s="50" t="s">
        <v>196</v>
      </c>
      <c r="D146" s="51">
        <v>2</v>
      </c>
      <c r="E146" s="52"/>
      <c r="F146" s="52">
        <f t="shared" si="3"/>
        <v>0</v>
      </c>
    </row>
    <row r="147" spans="1:6" ht="18.75" x14ac:dyDescent="0.25">
      <c r="A147" s="43" t="s">
        <v>261</v>
      </c>
      <c r="B147" s="35">
        <v>43099</v>
      </c>
      <c r="C147" s="50" t="s">
        <v>197</v>
      </c>
      <c r="D147" s="51">
        <v>4</v>
      </c>
      <c r="E147" s="52">
        <v>17</v>
      </c>
      <c r="F147" s="52">
        <f t="shared" si="3"/>
        <v>68</v>
      </c>
    </row>
    <row r="148" spans="1:6" ht="18.75" x14ac:dyDescent="0.25">
      <c r="A148" s="43" t="s">
        <v>262</v>
      </c>
      <c r="B148" s="35">
        <v>43099</v>
      </c>
      <c r="C148" s="50" t="s">
        <v>198</v>
      </c>
      <c r="D148" s="51">
        <f>3+2</f>
        <v>5</v>
      </c>
      <c r="E148" s="52">
        <v>980</v>
      </c>
      <c r="F148" s="52">
        <f t="shared" si="3"/>
        <v>4900</v>
      </c>
    </row>
    <row r="149" spans="1:6" ht="18.75" x14ac:dyDescent="0.25">
      <c r="A149" s="43" t="s">
        <v>262</v>
      </c>
      <c r="B149" s="35">
        <v>43099</v>
      </c>
      <c r="C149" s="50" t="s">
        <v>198</v>
      </c>
      <c r="D149" s="51">
        <v>161</v>
      </c>
      <c r="E149" s="52">
        <v>5.8</v>
      </c>
      <c r="F149" s="52">
        <f t="shared" si="3"/>
        <v>933.8</v>
      </c>
    </row>
    <row r="150" spans="1:6" ht="18.75" x14ac:dyDescent="0.25">
      <c r="A150" s="43" t="s">
        <v>263</v>
      </c>
      <c r="B150" s="35">
        <v>43099</v>
      </c>
      <c r="C150" s="50" t="s">
        <v>199</v>
      </c>
      <c r="D150" s="51">
        <v>2567</v>
      </c>
      <c r="E150" s="52">
        <v>4.58</v>
      </c>
      <c r="F150" s="52">
        <f t="shared" si="3"/>
        <v>11756.86</v>
      </c>
    </row>
    <row r="151" spans="1:6" ht="18.75" x14ac:dyDescent="0.25">
      <c r="A151" s="116"/>
      <c r="B151" s="35">
        <v>43099</v>
      </c>
      <c r="C151" s="50" t="s">
        <v>200</v>
      </c>
      <c r="D151" s="51">
        <f>8+46</f>
        <v>54</v>
      </c>
      <c r="E151" s="52">
        <v>125</v>
      </c>
      <c r="F151" s="52">
        <f t="shared" si="3"/>
        <v>6750</v>
      </c>
    </row>
    <row r="152" spans="1:6" ht="18.75" x14ac:dyDescent="0.25">
      <c r="A152" s="116"/>
      <c r="B152" s="35">
        <v>43099</v>
      </c>
      <c r="C152" s="50" t="s">
        <v>200</v>
      </c>
      <c r="D152" s="51">
        <f>1+25</f>
        <v>26</v>
      </c>
      <c r="E152" s="52">
        <v>61.6</v>
      </c>
      <c r="F152" s="52">
        <f t="shared" si="3"/>
        <v>1601.6000000000001</v>
      </c>
    </row>
    <row r="153" spans="1:6" ht="18.75" x14ac:dyDescent="0.25">
      <c r="A153" s="116"/>
      <c r="B153" s="35">
        <v>43099</v>
      </c>
      <c r="C153" s="50" t="s">
        <v>200</v>
      </c>
      <c r="D153" s="51">
        <v>1</v>
      </c>
      <c r="E153" s="52">
        <v>16.43</v>
      </c>
      <c r="F153" s="52">
        <f t="shared" si="3"/>
        <v>16.43</v>
      </c>
    </row>
    <row r="154" spans="1:6" s="21" customFormat="1" ht="18.75" customHeight="1" x14ac:dyDescent="0.25">
      <c r="A154" s="43" t="s">
        <v>264</v>
      </c>
      <c r="B154" s="35">
        <v>43099</v>
      </c>
      <c r="C154" s="50" t="s">
        <v>201</v>
      </c>
      <c r="D154" s="51">
        <f>525+2494</f>
        <v>3019</v>
      </c>
      <c r="E154" s="52">
        <v>0.71</v>
      </c>
      <c r="F154" s="52">
        <f t="shared" si="3"/>
        <v>2143.4899999999998</v>
      </c>
    </row>
    <row r="155" spans="1:6" s="21" customFormat="1" ht="18.75" customHeight="1" x14ac:dyDescent="0.25">
      <c r="A155" s="43" t="s">
        <v>264</v>
      </c>
      <c r="B155" s="35">
        <v>43099</v>
      </c>
      <c r="C155" s="50" t="s">
        <v>202</v>
      </c>
      <c r="D155" s="51">
        <f>1140+2494</f>
        <v>3634</v>
      </c>
      <c r="E155" s="52">
        <v>0.8</v>
      </c>
      <c r="F155" s="52">
        <f t="shared" si="3"/>
        <v>2907.2000000000003</v>
      </c>
    </row>
    <row r="156" spans="1:6" s="21" customFormat="1" ht="18.75" customHeight="1" x14ac:dyDescent="0.25">
      <c r="A156" s="43" t="s">
        <v>265</v>
      </c>
      <c r="B156" s="35">
        <v>43099</v>
      </c>
      <c r="C156" s="50" t="s">
        <v>203</v>
      </c>
      <c r="D156" s="51">
        <v>623</v>
      </c>
      <c r="E156" s="52">
        <v>3.5</v>
      </c>
      <c r="F156" s="52">
        <f t="shared" si="3"/>
        <v>2180.5</v>
      </c>
    </row>
    <row r="157" spans="1:6" s="21" customFormat="1" ht="18.75" customHeight="1" x14ac:dyDescent="0.25">
      <c r="A157" s="43" t="s">
        <v>265</v>
      </c>
      <c r="B157" s="35">
        <v>43099</v>
      </c>
      <c r="C157" s="50" t="s">
        <v>203</v>
      </c>
      <c r="D157" s="51">
        <v>23488</v>
      </c>
      <c r="E157" s="52">
        <v>4.0999999999999996</v>
      </c>
      <c r="F157" s="52">
        <f t="shared" si="3"/>
        <v>96300.799999999988</v>
      </c>
    </row>
    <row r="158" spans="1:6" s="21" customFormat="1" ht="18.75" customHeight="1" x14ac:dyDescent="0.25">
      <c r="A158" s="43" t="s">
        <v>265</v>
      </c>
      <c r="B158" s="35">
        <v>43099</v>
      </c>
      <c r="C158" s="50" t="s">
        <v>203</v>
      </c>
      <c r="D158" s="51">
        <v>3267</v>
      </c>
      <c r="E158" s="52">
        <v>1</v>
      </c>
      <c r="F158" s="52">
        <f t="shared" si="3"/>
        <v>3267</v>
      </c>
    </row>
    <row r="159" spans="1:6" s="21" customFormat="1" ht="18.75" customHeight="1" x14ac:dyDescent="0.25">
      <c r="A159" s="43" t="s">
        <v>266</v>
      </c>
      <c r="B159" s="35">
        <v>43099</v>
      </c>
      <c r="C159" s="50" t="s">
        <v>204</v>
      </c>
      <c r="D159" s="51">
        <v>108</v>
      </c>
      <c r="E159" s="52">
        <v>75</v>
      </c>
      <c r="F159" s="52">
        <f t="shared" si="3"/>
        <v>8100</v>
      </c>
    </row>
    <row r="160" spans="1:6" s="21" customFormat="1" ht="18.75" customHeight="1" x14ac:dyDescent="0.25">
      <c r="A160" s="43" t="s">
        <v>266</v>
      </c>
      <c r="B160" s="35">
        <v>43099</v>
      </c>
      <c r="C160" s="50" t="s">
        <v>204</v>
      </c>
      <c r="D160" s="51">
        <v>1</v>
      </c>
      <c r="E160" s="52">
        <v>115.01</v>
      </c>
      <c r="F160" s="52">
        <f t="shared" si="3"/>
        <v>115.01</v>
      </c>
    </row>
    <row r="161" spans="1:6" s="21" customFormat="1" ht="18.75" customHeight="1" x14ac:dyDescent="0.25">
      <c r="A161" s="43" t="s">
        <v>267</v>
      </c>
      <c r="B161" s="35">
        <v>43099</v>
      </c>
      <c r="C161" s="50" t="s">
        <v>205</v>
      </c>
      <c r="D161" s="51">
        <f>6+37</f>
        <v>43</v>
      </c>
      <c r="E161" s="52">
        <v>3517</v>
      </c>
      <c r="F161" s="52">
        <f t="shared" si="3"/>
        <v>151231</v>
      </c>
    </row>
    <row r="162" spans="1:6" s="21" customFormat="1" ht="18.75" customHeight="1" x14ac:dyDescent="0.25">
      <c r="A162" s="43" t="s">
        <v>267</v>
      </c>
      <c r="B162" s="35">
        <v>43099</v>
      </c>
      <c r="C162" s="50" t="s">
        <v>205</v>
      </c>
      <c r="D162" s="51">
        <f>7+9</f>
        <v>16</v>
      </c>
      <c r="E162" s="52">
        <v>3050</v>
      </c>
      <c r="F162" s="52">
        <f t="shared" si="3"/>
        <v>48800</v>
      </c>
    </row>
    <row r="163" spans="1:6" s="21" customFormat="1" ht="18.75" customHeight="1" x14ac:dyDescent="0.25">
      <c r="A163" s="43" t="s">
        <v>267</v>
      </c>
      <c r="B163" s="35">
        <v>43099</v>
      </c>
      <c r="C163" s="50" t="s">
        <v>205</v>
      </c>
      <c r="D163" s="51">
        <v>1</v>
      </c>
      <c r="E163" s="52">
        <v>2011</v>
      </c>
      <c r="F163" s="52">
        <f t="shared" si="3"/>
        <v>2011</v>
      </c>
    </row>
    <row r="164" spans="1:6" s="21" customFormat="1" ht="14.25" customHeight="1" x14ac:dyDescent="0.25">
      <c r="A164" s="43"/>
      <c r="B164" s="35">
        <v>43099</v>
      </c>
      <c r="C164" s="50" t="s">
        <v>206</v>
      </c>
      <c r="D164" s="51">
        <v>4</v>
      </c>
      <c r="E164" s="52"/>
      <c r="F164" s="52">
        <f t="shared" si="3"/>
        <v>0</v>
      </c>
    </row>
    <row r="165" spans="1:6" s="21" customFormat="1" ht="16.5" customHeight="1" x14ac:dyDescent="0.25">
      <c r="A165" s="49" t="s">
        <v>268</v>
      </c>
      <c r="B165" s="35">
        <v>43099</v>
      </c>
      <c r="C165" s="50" t="s">
        <v>207</v>
      </c>
      <c r="D165" s="51">
        <v>2</v>
      </c>
      <c r="E165" s="52">
        <v>35</v>
      </c>
      <c r="F165" s="52">
        <f>D165*E165</f>
        <v>70</v>
      </c>
    </row>
    <row r="166" spans="1:6" s="21" customFormat="1" ht="16.5" customHeight="1" x14ac:dyDescent="0.25">
      <c r="A166" s="49"/>
      <c r="B166" s="35">
        <v>43099</v>
      </c>
      <c r="C166" s="50" t="s">
        <v>273</v>
      </c>
      <c r="D166" s="51">
        <v>2</v>
      </c>
      <c r="E166" s="52"/>
      <c r="F166" s="52"/>
    </row>
    <row r="167" spans="1:6" s="21" customFormat="1" ht="16.5" customHeight="1" thickBot="1" x14ac:dyDescent="0.3">
      <c r="A167" s="117"/>
      <c r="B167" s="35">
        <v>43099</v>
      </c>
      <c r="C167" s="111" t="s">
        <v>273</v>
      </c>
      <c r="D167" s="112">
        <v>4</v>
      </c>
      <c r="E167" s="108"/>
      <c r="F167" s="108">
        <f>SUM(F81:F166)</f>
        <v>1548427.9640000006</v>
      </c>
    </row>
    <row r="168" spans="1:6" s="21" customFormat="1" ht="18.75" customHeight="1" thickBot="1" x14ac:dyDescent="0.3">
      <c r="A168" s="160" t="s">
        <v>274</v>
      </c>
      <c r="B168" s="161"/>
      <c r="C168" s="161"/>
      <c r="D168" s="161"/>
      <c r="E168" s="161"/>
      <c r="F168" s="110">
        <f>SUM(F81:F165)</f>
        <v>1548427.9640000006</v>
      </c>
    </row>
    <row r="169" spans="1:6" s="21" customFormat="1" ht="15" customHeight="1" thickBot="1" x14ac:dyDescent="0.3">
      <c r="A169" s="166"/>
      <c r="B169" s="166"/>
      <c r="C169" s="166"/>
      <c r="D169" s="166"/>
      <c r="E169" s="166"/>
      <c r="F169" s="166"/>
    </row>
    <row r="170" spans="1:6" ht="18.75" thickBot="1" x14ac:dyDescent="0.3">
      <c r="A170" s="53"/>
      <c r="B170" s="53"/>
      <c r="C170" s="113" t="s">
        <v>275</v>
      </c>
      <c r="D170" s="114"/>
      <c r="E170" s="114"/>
      <c r="F170" s="115">
        <f>+F79+F168</f>
        <v>5065438.9240000006</v>
      </c>
    </row>
    <row r="171" spans="1:6" ht="15.75" x14ac:dyDescent="0.25">
      <c r="A171" s="36"/>
      <c r="B171" s="164" t="s">
        <v>209</v>
      </c>
      <c r="C171" s="164"/>
      <c r="D171" s="37"/>
      <c r="E171" s="39"/>
      <c r="F171" s="36"/>
    </row>
    <row r="172" spans="1:6" x14ac:dyDescent="0.25">
      <c r="A172" s="36"/>
      <c r="B172" s="165" t="s">
        <v>210</v>
      </c>
      <c r="C172" s="165"/>
      <c r="D172" s="165"/>
      <c r="E172" s="165"/>
      <c r="F172" s="165"/>
    </row>
    <row r="173" spans="1:6" x14ac:dyDescent="0.25">
      <c r="A173" s="36"/>
      <c r="B173" s="165"/>
      <c r="C173" s="165"/>
      <c r="D173" s="165"/>
      <c r="E173" s="165"/>
      <c r="F173" s="165"/>
    </row>
    <row r="174" spans="1:6" x14ac:dyDescent="0.25">
      <c r="A174" s="36"/>
      <c r="B174" s="165"/>
      <c r="C174" s="165"/>
      <c r="D174" s="165"/>
      <c r="E174" s="165"/>
      <c r="F174" s="165"/>
    </row>
    <row r="175" spans="1:6" ht="18.75" x14ac:dyDescent="0.3">
      <c r="A175" s="167" t="s">
        <v>295</v>
      </c>
      <c r="B175" s="167"/>
      <c r="C175" s="167"/>
    </row>
    <row r="176" spans="1:6" x14ac:dyDescent="0.25">
      <c r="A176" s="143"/>
      <c r="B176" s="159" t="s">
        <v>104</v>
      </c>
      <c r="C176" s="159"/>
    </row>
  </sheetData>
  <mergeCells count="9">
    <mergeCell ref="B172:F174"/>
    <mergeCell ref="B176:C176"/>
    <mergeCell ref="A168:E168"/>
    <mergeCell ref="A1:G1"/>
    <mergeCell ref="A2:G2"/>
    <mergeCell ref="A79:E79"/>
    <mergeCell ref="A169:F169"/>
    <mergeCell ref="A175:C175"/>
    <mergeCell ref="B171:C171"/>
  </mergeCells>
  <pageMargins left="0.70866141732283472" right="0.70866141732283472" top="0.74803149606299213" bottom="0.74803149606299213" header="0.31496062992125984" footer="0.31496062992125984"/>
  <pageSetup scale="75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M111"/>
  <sheetViews>
    <sheetView tabSelected="1" zoomScale="80" zoomScaleNormal="80" workbookViewId="0">
      <selection activeCell="D86" sqref="D86"/>
    </sheetView>
  </sheetViews>
  <sheetFormatPr defaultColWidth="9.140625" defaultRowHeight="15.75" customHeight="1" x14ac:dyDescent="0.25"/>
  <cols>
    <col min="1" max="1" width="21.28515625" style="70" customWidth="1"/>
    <col min="2" max="2" width="29.42578125" style="84" bestFit="1" customWidth="1"/>
    <col min="3" max="3" width="24" style="91" customWidth="1"/>
    <col min="4" max="4" width="13.28515625" style="91" customWidth="1"/>
    <col min="5" max="7" width="14" style="129" customWidth="1"/>
    <col min="8" max="8" width="21.5703125" style="91" customWidth="1"/>
    <col min="9" max="9" width="14" style="39" customWidth="1"/>
    <col min="10" max="10" width="22.42578125" style="70" customWidth="1"/>
    <col min="11" max="11" width="28.140625" style="70" bestFit="1" customWidth="1"/>
    <col min="12" max="12" width="13.140625" style="70" bestFit="1" customWidth="1"/>
    <col min="13" max="14" width="9.140625" style="70"/>
    <col min="15" max="16" width="10.28515625" style="70" bestFit="1" customWidth="1"/>
    <col min="17" max="16384" width="9.140625" style="70"/>
  </cols>
  <sheetData>
    <row r="1" spans="1:12" s="56" customFormat="1" ht="20.25" customHeight="1" x14ac:dyDescent="0.25">
      <c r="A1" s="168" t="str">
        <f>+[1]Inventario!$A$2:$G$2</f>
        <v>DIRECCION GENERAL DE ETICA E INTEGRIDAD GUBERNAMENTAL</v>
      </c>
      <c r="B1" s="169"/>
      <c r="C1" s="169"/>
      <c r="D1" s="169"/>
      <c r="E1" s="169"/>
      <c r="F1" s="169"/>
      <c r="G1" s="169"/>
      <c r="H1" s="169"/>
      <c r="I1" s="169"/>
      <c r="J1" s="170"/>
      <c r="K1" s="55"/>
    </row>
    <row r="2" spans="1:12" s="58" customFormat="1" ht="23.25" customHeight="1" thickBot="1" x14ac:dyDescent="0.3">
      <c r="A2" s="171" t="s">
        <v>293</v>
      </c>
      <c r="B2" s="172"/>
      <c r="C2" s="172"/>
      <c r="D2" s="172"/>
      <c r="E2" s="172"/>
      <c r="F2" s="172"/>
      <c r="G2" s="172"/>
      <c r="H2" s="172"/>
      <c r="I2" s="172"/>
      <c r="J2" s="173"/>
      <c r="K2" s="57"/>
    </row>
    <row r="3" spans="1:12" s="63" customFormat="1" ht="47.25" x14ac:dyDescent="0.25">
      <c r="A3" s="59" t="s">
        <v>58</v>
      </c>
      <c r="B3" s="60" t="s">
        <v>59</v>
      </c>
      <c r="C3" s="60" t="s">
        <v>60</v>
      </c>
      <c r="D3" s="60" t="s">
        <v>276</v>
      </c>
      <c r="E3" s="121" t="s">
        <v>298</v>
      </c>
      <c r="F3" s="121" t="s">
        <v>297</v>
      </c>
      <c r="G3" s="121" t="s">
        <v>296</v>
      </c>
      <c r="H3" s="60" t="s">
        <v>61</v>
      </c>
      <c r="I3" s="61" t="s">
        <v>62</v>
      </c>
      <c r="J3" s="62" t="s">
        <v>63</v>
      </c>
    </row>
    <row r="4" spans="1:12" ht="17.100000000000001" customHeight="1" x14ac:dyDescent="0.25">
      <c r="A4" s="64" t="s">
        <v>277</v>
      </c>
      <c r="B4" s="65" t="s">
        <v>299</v>
      </c>
      <c r="C4" s="66" t="s">
        <v>278</v>
      </c>
      <c r="D4" s="67">
        <v>4</v>
      </c>
      <c r="E4" s="122">
        <v>40066</v>
      </c>
      <c r="F4" s="122">
        <v>0</v>
      </c>
      <c r="G4" s="122">
        <v>1200</v>
      </c>
      <c r="H4" s="68">
        <f>+E4+F4+G4</f>
        <v>41266</v>
      </c>
      <c r="I4" s="69" t="s">
        <v>279</v>
      </c>
      <c r="J4" s="139">
        <f>+H4*I4</f>
        <v>12900989.58</v>
      </c>
      <c r="K4" s="141"/>
      <c r="L4" s="131"/>
    </row>
    <row r="5" spans="1:12" ht="17.100000000000001" customHeight="1" x14ac:dyDescent="0.25">
      <c r="A5" s="64" t="s">
        <v>277</v>
      </c>
      <c r="B5" s="65" t="s">
        <v>299</v>
      </c>
      <c r="C5" s="66" t="s">
        <v>278</v>
      </c>
      <c r="D5" s="67">
        <v>6</v>
      </c>
      <c r="E5" s="122">
        <v>74592</v>
      </c>
      <c r="F5" s="122">
        <v>36</v>
      </c>
      <c r="G5" s="122">
        <v>1750</v>
      </c>
      <c r="H5" s="68">
        <f t="shared" ref="H5:H68" si="0">+E5+F5+G5</f>
        <v>76378</v>
      </c>
      <c r="I5" s="69" t="s">
        <v>279</v>
      </c>
      <c r="J5" s="139">
        <f t="shared" ref="J5:J68" si="1">+H5*I5</f>
        <v>23878054.140000001</v>
      </c>
      <c r="K5" s="141"/>
      <c r="L5" s="131"/>
    </row>
    <row r="6" spans="1:12" ht="17.100000000000001" customHeight="1" x14ac:dyDescent="0.25">
      <c r="A6" s="64" t="s">
        <v>277</v>
      </c>
      <c r="B6" s="65" t="s">
        <v>299</v>
      </c>
      <c r="C6" s="66" t="s">
        <v>278</v>
      </c>
      <c r="D6" s="67">
        <v>8</v>
      </c>
      <c r="E6" s="122">
        <v>26216</v>
      </c>
      <c r="F6" s="122">
        <v>107</v>
      </c>
      <c r="G6" s="122">
        <v>40775</v>
      </c>
      <c r="H6" s="68">
        <f t="shared" si="0"/>
        <v>67098</v>
      </c>
      <c r="I6" s="69" t="s">
        <v>279</v>
      </c>
      <c r="J6" s="139">
        <f t="shared" si="1"/>
        <v>20976847.739999998</v>
      </c>
      <c r="K6" s="141"/>
      <c r="L6" s="131"/>
    </row>
    <row r="7" spans="1:12" ht="17.100000000000001" customHeight="1" x14ac:dyDescent="0.25">
      <c r="A7" s="64" t="s">
        <v>277</v>
      </c>
      <c r="B7" s="65" t="s">
        <v>299</v>
      </c>
      <c r="C7" s="66" t="s">
        <v>278</v>
      </c>
      <c r="D7" s="67">
        <v>10</v>
      </c>
      <c r="E7" s="122">
        <v>1497</v>
      </c>
      <c r="F7" s="122">
        <v>129</v>
      </c>
      <c r="G7" s="122">
        <v>0</v>
      </c>
      <c r="H7" s="68">
        <f t="shared" si="0"/>
        <v>1626</v>
      </c>
      <c r="I7" s="71">
        <v>312.63</v>
      </c>
      <c r="J7" s="139">
        <f t="shared" si="1"/>
        <v>508336.38</v>
      </c>
      <c r="K7" s="141"/>
      <c r="L7" s="131"/>
    </row>
    <row r="8" spans="1:12" ht="17.100000000000001" customHeight="1" x14ac:dyDescent="0.25">
      <c r="A8" s="64" t="s">
        <v>277</v>
      </c>
      <c r="B8" s="65" t="s">
        <v>299</v>
      </c>
      <c r="C8" s="66" t="s">
        <v>278</v>
      </c>
      <c r="D8" s="67">
        <v>12</v>
      </c>
      <c r="E8" s="122">
        <v>1689</v>
      </c>
      <c r="F8" s="122">
        <v>68</v>
      </c>
      <c r="G8" s="122">
        <v>0</v>
      </c>
      <c r="H8" s="68">
        <f t="shared" si="0"/>
        <v>1757</v>
      </c>
      <c r="I8" s="71">
        <v>312.63</v>
      </c>
      <c r="J8" s="139">
        <f t="shared" si="1"/>
        <v>549290.91</v>
      </c>
      <c r="K8" s="141"/>
      <c r="L8" s="131"/>
    </row>
    <row r="9" spans="1:12" ht="17.100000000000001" customHeight="1" x14ac:dyDescent="0.25">
      <c r="A9" s="64" t="s">
        <v>277</v>
      </c>
      <c r="B9" s="65" t="s">
        <v>299</v>
      </c>
      <c r="C9" s="66" t="s">
        <v>278</v>
      </c>
      <c r="D9" s="67">
        <v>14</v>
      </c>
      <c r="E9" s="122">
        <v>1794</v>
      </c>
      <c r="F9" s="122">
        <v>42</v>
      </c>
      <c r="G9" s="122">
        <v>0</v>
      </c>
      <c r="H9" s="68">
        <f t="shared" si="0"/>
        <v>1836</v>
      </c>
      <c r="I9" s="72">
        <v>312.63</v>
      </c>
      <c r="J9" s="139">
        <f t="shared" si="1"/>
        <v>573988.67999999993</v>
      </c>
      <c r="K9" s="141"/>
      <c r="L9" s="131"/>
    </row>
    <row r="10" spans="1:12" ht="17.100000000000001" customHeight="1" x14ac:dyDescent="0.25">
      <c r="A10" s="64" t="s">
        <v>277</v>
      </c>
      <c r="B10" s="65" t="s">
        <v>299</v>
      </c>
      <c r="C10" s="66" t="s">
        <v>278</v>
      </c>
      <c r="D10" s="67">
        <v>16</v>
      </c>
      <c r="E10" s="122">
        <v>6514</v>
      </c>
      <c r="F10" s="122">
        <v>13</v>
      </c>
      <c r="G10" s="122">
        <v>3475</v>
      </c>
      <c r="H10" s="68">
        <f t="shared" si="0"/>
        <v>10002</v>
      </c>
      <c r="I10" s="72">
        <v>312.63</v>
      </c>
      <c r="J10" s="139">
        <f t="shared" si="1"/>
        <v>3126925.26</v>
      </c>
      <c r="K10" s="141"/>
      <c r="L10" s="131"/>
    </row>
    <row r="11" spans="1:12" ht="17.100000000000001" customHeight="1" x14ac:dyDescent="0.25">
      <c r="A11" s="64" t="s">
        <v>277</v>
      </c>
      <c r="B11" s="65" t="s">
        <v>299</v>
      </c>
      <c r="C11" s="66" t="s">
        <v>278</v>
      </c>
      <c r="D11" s="67">
        <v>18</v>
      </c>
      <c r="E11" s="122">
        <v>3428</v>
      </c>
      <c r="F11" s="122">
        <v>0</v>
      </c>
      <c r="G11" s="122">
        <v>0</v>
      </c>
      <c r="H11" s="68">
        <f t="shared" si="0"/>
        <v>3428</v>
      </c>
      <c r="I11" s="72">
        <v>312.63</v>
      </c>
      <c r="J11" s="139">
        <f t="shared" si="1"/>
        <v>1071695.6399999999</v>
      </c>
      <c r="K11" s="141"/>
      <c r="L11" s="131"/>
    </row>
    <row r="12" spans="1:12" ht="17.100000000000001" customHeight="1" x14ac:dyDescent="0.25">
      <c r="A12" s="132" t="s">
        <v>277</v>
      </c>
      <c r="B12" s="65" t="s">
        <v>299</v>
      </c>
      <c r="C12" s="133" t="s">
        <v>278</v>
      </c>
      <c r="D12" s="134">
        <v>20</v>
      </c>
      <c r="E12" s="135">
        <v>18206</v>
      </c>
      <c r="F12" s="135">
        <v>0</v>
      </c>
      <c r="G12" s="135">
        <v>1175</v>
      </c>
      <c r="H12" s="136">
        <f t="shared" si="0"/>
        <v>19381</v>
      </c>
      <c r="I12" s="137">
        <v>312.63</v>
      </c>
      <c r="J12" s="139">
        <f t="shared" si="1"/>
        <v>6059082.0300000003</v>
      </c>
      <c r="K12" s="141"/>
      <c r="L12" s="131"/>
    </row>
    <row r="13" spans="1:12" ht="17.100000000000001" customHeight="1" x14ac:dyDescent="0.25">
      <c r="A13" s="64" t="s">
        <v>277</v>
      </c>
      <c r="B13" s="65" t="s">
        <v>299</v>
      </c>
      <c r="C13" s="66" t="s">
        <v>278</v>
      </c>
      <c r="D13" s="67">
        <v>22</v>
      </c>
      <c r="E13" s="122">
        <v>24757</v>
      </c>
      <c r="F13" s="122">
        <v>0</v>
      </c>
      <c r="G13" s="122">
        <v>4375</v>
      </c>
      <c r="H13" s="68">
        <f t="shared" si="0"/>
        <v>29132</v>
      </c>
      <c r="I13" s="71">
        <v>312.63</v>
      </c>
      <c r="J13" s="139">
        <f t="shared" si="1"/>
        <v>9107537.1600000001</v>
      </c>
      <c r="K13" s="141"/>
      <c r="L13" s="131"/>
    </row>
    <row r="14" spans="1:12" ht="17.100000000000001" customHeight="1" x14ac:dyDescent="0.25">
      <c r="A14" s="64" t="s">
        <v>277</v>
      </c>
      <c r="B14" s="65" t="s">
        <v>299</v>
      </c>
      <c r="C14" s="66" t="s">
        <v>278</v>
      </c>
      <c r="D14" s="67">
        <v>24</v>
      </c>
      <c r="E14" s="122">
        <v>11019</v>
      </c>
      <c r="F14" s="122">
        <v>0</v>
      </c>
      <c r="G14" s="122">
        <v>1950</v>
      </c>
      <c r="H14" s="68">
        <f t="shared" si="0"/>
        <v>12969</v>
      </c>
      <c r="I14" s="71">
        <v>312.63</v>
      </c>
      <c r="J14" s="139">
        <f t="shared" si="1"/>
        <v>4054498.4699999997</v>
      </c>
      <c r="K14" s="141"/>
      <c r="L14" s="131"/>
    </row>
    <row r="15" spans="1:12" ht="17.100000000000001" customHeight="1" x14ac:dyDescent="0.25">
      <c r="A15" s="64" t="s">
        <v>277</v>
      </c>
      <c r="B15" s="65" t="s">
        <v>299</v>
      </c>
      <c r="C15" s="66" t="s">
        <v>278</v>
      </c>
      <c r="D15" s="67">
        <v>26</v>
      </c>
      <c r="E15" s="122">
        <v>5372</v>
      </c>
      <c r="F15" s="122">
        <v>0</v>
      </c>
      <c r="G15" s="122">
        <v>1500</v>
      </c>
      <c r="H15" s="68">
        <f t="shared" si="0"/>
        <v>6872</v>
      </c>
      <c r="I15" s="71">
        <v>312.63</v>
      </c>
      <c r="J15" s="139">
        <f t="shared" si="1"/>
        <v>2148393.36</v>
      </c>
      <c r="K15" s="141"/>
      <c r="L15" s="131"/>
    </row>
    <row r="16" spans="1:12" ht="17.100000000000001" customHeight="1" x14ac:dyDescent="0.25">
      <c r="A16" s="64" t="s">
        <v>280</v>
      </c>
      <c r="B16" s="65" t="s">
        <v>299</v>
      </c>
      <c r="C16" s="66" t="s">
        <v>281</v>
      </c>
      <c r="D16" s="67">
        <v>4</v>
      </c>
      <c r="E16" s="122">
        <v>0</v>
      </c>
      <c r="F16" s="122">
        <v>0</v>
      </c>
      <c r="G16" s="122">
        <v>0</v>
      </c>
      <c r="H16" s="68">
        <f t="shared" si="0"/>
        <v>0</v>
      </c>
      <c r="I16" s="71">
        <v>312.63</v>
      </c>
      <c r="J16" s="139">
        <f t="shared" si="1"/>
        <v>0</v>
      </c>
      <c r="K16" s="141"/>
      <c r="L16" s="131"/>
    </row>
    <row r="17" spans="1:12" ht="17.100000000000001" customHeight="1" x14ac:dyDescent="0.25">
      <c r="A17" s="64" t="s">
        <v>280</v>
      </c>
      <c r="B17" s="65" t="s">
        <v>299</v>
      </c>
      <c r="C17" s="66" t="s">
        <v>281</v>
      </c>
      <c r="D17" s="67">
        <v>6</v>
      </c>
      <c r="E17" s="122">
        <v>0</v>
      </c>
      <c r="F17" s="122">
        <v>35</v>
      </c>
      <c r="G17" s="122">
        <v>0</v>
      </c>
      <c r="H17" s="68">
        <f t="shared" si="0"/>
        <v>35</v>
      </c>
      <c r="I17" s="71">
        <v>156.76</v>
      </c>
      <c r="J17" s="139">
        <f t="shared" si="1"/>
        <v>5486.5999999999995</v>
      </c>
      <c r="K17" s="141"/>
      <c r="L17" s="131"/>
    </row>
    <row r="18" spans="1:12" ht="17.100000000000001" customHeight="1" x14ac:dyDescent="0.25">
      <c r="A18" s="64" t="s">
        <v>280</v>
      </c>
      <c r="B18" s="65" t="s">
        <v>299</v>
      </c>
      <c r="C18" s="66" t="s">
        <v>281</v>
      </c>
      <c r="D18" s="67">
        <v>8</v>
      </c>
      <c r="E18" s="122">
        <v>0</v>
      </c>
      <c r="F18" s="122">
        <v>83</v>
      </c>
      <c r="G18" s="122">
        <v>0</v>
      </c>
      <c r="H18" s="68">
        <f t="shared" si="0"/>
        <v>83</v>
      </c>
      <c r="I18" s="71">
        <v>156.76</v>
      </c>
      <c r="J18" s="139">
        <f t="shared" si="1"/>
        <v>13011.08</v>
      </c>
      <c r="K18" s="141"/>
      <c r="L18" s="131"/>
    </row>
    <row r="19" spans="1:12" ht="17.100000000000001" customHeight="1" x14ac:dyDescent="0.25">
      <c r="A19" s="64" t="s">
        <v>280</v>
      </c>
      <c r="B19" s="65" t="s">
        <v>299</v>
      </c>
      <c r="C19" s="66" t="s">
        <v>281</v>
      </c>
      <c r="D19" s="67">
        <v>10</v>
      </c>
      <c r="E19" s="122">
        <v>0</v>
      </c>
      <c r="F19" s="122">
        <v>77</v>
      </c>
      <c r="G19" s="122">
        <v>0</v>
      </c>
      <c r="H19" s="68">
        <f t="shared" si="0"/>
        <v>77</v>
      </c>
      <c r="I19" s="71">
        <v>156.76</v>
      </c>
      <c r="J19" s="139">
        <f t="shared" si="1"/>
        <v>12070.519999999999</v>
      </c>
      <c r="K19" s="141"/>
      <c r="L19" s="131"/>
    </row>
    <row r="20" spans="1:12" ht="17.100000000000001" customHeight="1" x14ac:dyDescent="0.25">
      <c r="A20" s="64" t="s">
        <v>280</v>
      </c>
      <c r="B20" s="65" t="s">
        <v>299</v>
      </c>
      <c r="C20" s="66" t="s">
        <v>281</v>
      </c>
      <c r="D20" s="67">
        <v>12</v>
      </c>
      <c r="E20" s="122">
        <v>0</v>
      </c>
      <c r="F20" s="122">
        <v>73</v>
      </c>
      <c r="G20" s="122">
        <v>0</v>
      </c>
      <c r="H20" s="68">
        <f t="shared" si="0"/>
        <v>73</v>
      </c>
      <c r="I20" s="71">
        <v>156.76</v>
      </c>
      <c r="J20" s="139">
        <f t="shared" si="1"/>
        <v>11443.48</v>
      </c>
      <c r="K20" s="141"/>
      <c r="L20" s="131"/>
    </row>
    <row r="21" spans="1:12" ht="17.100000000000001" customHeight="1" x14ac:dyDescent="0.25">
      <c r="A21" s="64" t="s">
        <v>280</v>
      </c>
      <c r="B21" s="65" t="s">
        <v>299</v>
      </c>
      <c r="C21" s="66" t="s">
        <v>281</v>
      </c>
      <c r="D21" s="67">
        <v>14</v>
      </c>
      <c r="E21" s="122">
        <v>0</v>
      </c>
      <c r="F21" s="122">
        <v>41</v>
      </c>
      <c r="G21" s="122">
        <v>0</v>
      </c>
      <c r="H21" s="68">
        <f t="shared" si="0"/>
        <v>41</v>
      </c>
      <c r="I21" s="71">
        <v>156.76</v>
      </c>
      <c r="J21" s="139">
        <f t="shared" si="1"/>
        <v>6427.16</v>
      </c>
      <c r="K21" s="141"/>
      <c r="L21" s="131"/>
    </row>
    <row r="22" spans="1:12" ht="17.100000000000001" customHeight="1" x14ac:dyDescent="0.25">
      <c r="A22" s="73" t="s">
        <v>280</v>
      </c>
      <c r="B22" s="65" t="s">
        <v>299</v>
      </c>
      <c r="C22" s="74" t="s">
        <v>281</v>
      </c>
      <c r="D22" s="75">
        <v>16</v>
      </c>
      <c r="E22" s="123">
        <v>0</v>
      </c>
      <c r="F22" s="123">
        <v>17</v>
      </c>
      <c r="G22" s="123">
        <v>0</v>
      </c>
      <c r="H22" s="68">
        <f t="shared" si="0"/>
        <v>17</v>
      </c>
      <c r="I22" s="76">
        <v>156.76</v>
      </c>
      <c r="J22" s="139">
        <f t="shared" si="1"/>
        <v>2664.92</v>
      </c>
      <c r="K22" s="141"/>
      <c r="L22" s="131"/>
    </row>
    <row r="23" spans="1:12" ht="17.100000000000001" customHeight="1" x14ac:dyDescent="0.25">
      <c r="A23" s="64" t="s">
        <v>280</v>
      </c>
      <c r="B23" s="65" t="s">
        <v>299</v>
      </c>
      <c r="C23" s="66" t="s">
        <v>281</v>
      </c>
      <c r="D23" s="67">
        <v>18</v>
      </c>
      <c r="E23" s="122">
        <v>0</v>
      </c>
      <c r="F23" s="122">
        <v>15</v>
      </c>
      <c r="G23" s="122">
        <v>0</v>
      </c>
      <c r="H23" s="68">
        <f t="shared" si="0"/>
        <v>15</v>
      </c>
      <c r="I23" s="71">
        <v>156.76</v>
      </c>
      <c r="J23" s="139">
        <f t="shared" si="1"/>
        <v>2351.3999999999996</v>
      </c>
      <c r="K23" s="141"/>
      <c r="L23" s="131"/>
    </row>
    <row r="24" spans="1:12" ht="16.5" customHeight="1" x14ac:dyDescent="0.25">
      <c r="A24" s="64" t="s">
        <v>280</v>
      </c>
      <c r="B24" s="65" t="s">
        <v>299</v>
      </c>
      <c r="C24" s="66" t="s">
        <v>281</v>
      </c>
      <c r="D24" s="67">
        <v>20</v>
      </c>
      <c r="E24" s="122">
        <v>0</v>
      </c>
      <c r="F24" s="122">
        <v>0</v>
      </c>
      <c r="G24" s="122">
        <v>0</v>
      </c>
      <c r="H24" s="68">
        <f t="shared" si="0"/>
        <v>0</v>
      </c>
      <c r="I24" s="71">
        <v>156.76</v>
      </c>
      <c r="J24" s="139">
        <f t="shared" si="1"/>
        <v>0</v>
      </c>
      <c r="K24" s="141"/>
      <c r="L24" s="131"/>
    </row>
    <row r="25" spans="1:12" ht="16.5" customHeight="1" x14ac:dyDescent="0.25">
      <c r="A25" s="64" t="s">
        <v>280</v>
      </c>
      <c r="B25" s="65" t="s">
        <v>299</v>
      </c>
      <c r="C25" s="66" t="s">
        <v>281</v>
      </c>
      <c r="D25" s="67">
        <v>22</v>
      </c>
      <c r="E25" s="122">
        <v>0</v>
      </c>
      <c r="F25" s="122">
        <v>0</v>
      </c>
      <c r="G25" s="122">
        <v>0</v>
      </c>
      <c r="H25" s="68">
        <f t="shared" si="0"/>
        <v>0</v>
      </c>
      <c r="I25" s="71">
        <v>156.76</v>
      </c>
      <c r="J25" s="139">
        <f t="shared" si="1"/>
        <v>0</v>
      </c>
      <c r="K25" s="141"/>
      <c r="L25" s="131"/>
    </row>
    <row r="26" spans="1:12" ht="16.5" customHeight="1" x14ac:dyDescent="0.25">
      <c r="A26" s="64" t="s">
        <v>280</v>
      </c>
      <c r="B26" s="65" t="s">
        <v>299</v>
      </c>
      <c r="C26" s="66" t="s">
        <v>281</v>
      </c>
      <c r="D26" s="67">
        <v>24</v>
      </c>
      <c r="E26" s="122">
        <v>0</v>
      </c>
      <c r="F26" s="122">
        <v>0</v>
      </c>
      <c r="G26" s="122">
        <v>0</v>
      </c>
      <c r="H26" s="68">
        <f t="shared" si="0"/>
        <v>0</v>
      </c>
      <c r="I26" s="71">
        <v>156.76</v>
      </c>
      <c r="J26" s="139">
        <f t="shared" si="1"/>
        <v>0</v>
      </c>
      <c r="K26" s="141"/>
      <c r="L26" s="131"/>
    </row>
    <row r="27" spans="1:12" ht="17.100000000000001" customHeight="1" x14ac:dyDescent="0.25">
      <c r="A27" s="64" t="s">
        <v>282</v>
      </c>
      <c r="B27" s="65" t="s">
        <v>299</v>
      </c>
      <c r="C27" s="66" t="s">
        <v>283</v>
      </c>
      <c r="D27" s="67">
        <v>27</v>
      </c>
      <c r="E27" s="122">
        <v>985</v>
      </c>
      <c r="F27" s="135">
        <v>0</v>
      </c>
      <c r="G27" s="122">
        <v>0</v>
      </c>
      <c r="H27" s="68">
        <f t="shared" si="0"/>
        <v>985</v>
      </c>
      <c r="I27" s="77">
        <v>477</v>
      </c>
      <c r="J27" s="139">
        <f t="shared" si="1"/>
        <v>469845</v>
      </c>
      <c r="K27" s="141"/>
      <c r="L27" s="131"/>
    </row>
    <row r="28" spans="1:12" ht="17.100000000000001" customHeight="1" x14ac:dyDescent="0.25">
      <c r="A28" s="78" t="s">
        <v>282</v>
      </c>
      <c r="B28" s="65" t="s">
        <v>299</v>
      </c>
      <c r="C28" s="79" t="s">
        <v>283</v>
      </c>
      <c r="D28" s="80">
        <v>28</v>
      </c>
      <c r="E28" s="124">
        <v>0</v>
      </c>
      <c r="F28" s="135">
        <v>4</v>
      </c>
      <c r="G28" s="124">
        <v>0</v>
      </c>
      <c r="H28" s="68">
        <f t="shared" si="0"/>
        <v>4</v>
      </c>
      <c r="I28" s="81">
        <v>477</v>
      </c>
      <c r="J28" s="139">
        <f t="shared" si="1"/>
        <v>1908</v>
      </c>
      <c r="K28" s="141"/>
      <c r="L28" s="131"/>
    </row>
    <row r="29" spans="1:12" ht="17.100000000000001" customHeight="1" x14ac:dyDescent="0.25">
      <c r="A29" s="64" t="s">
        <v>282</v>
      </c>
      <c r="B29" s="65" t="s">
        <v>299</v>
      </c>
      <c r="C29" s="66" t="s">
        <v>283</v>
      </c>
      <c r="D29" s="67">
        <v>29</v>
      </c>
      <c r="E29" s="122">
        <v>29</v>
      </c>
      <c r="F29" s="135">
        <v>3</v>
      </c>
      <c r="G29" s="122">
        <v>0</v>
      </c>
      <c r="H29" s="68">
        <f t="shared" si="0"/>
        <v>32</v>
      </c>
      <c r="I29" s="82">
        <v>477</v>
      </c>
      <c r="J29" s="139">
        <f t="shared" si="1"/>
        <v>15264</v>
      </c>
      <c r="K29" s="141"/>
      <c r="L29" s="131"/>
    </row>
    <row r="30" spans="1:12" ht="17.100000000000001" customHeight="1" x14ac:dyDescent="0.25">
      <c r="A30" s="64" t="s">
        <v>282</v>
      </c>
      <c r="B30" s="65" t="s">
        <v>299</v>
      </c>
      <c r="C30" s="66" t="s">
        <v>283</v>
      </c>
      <c r="D30" s="67">
        <v>30</v>
      </c>
      <c r="E30" s="122">
        <v>4</v>
      </c>
      <c r="F30" s="135">
        <v>4</v>
      </c>
      <c r="G30" s="122">
        <v>0</v>
      </c>
      <c r="H30" s="68">
        <f t="shared" si="0"/>
        <v>8</v>
      </c>
      <c r="I30" s="77">
        <v>477</v>
      </c>
      <c r="J30" s="139">
        <f t="shared" si="1"/>
        <v>3816</v>
      </c>
      <c r="K30" s="141"/>
      <c r="L30" s="131"/>
    </row>
    <row r="31" spans="1:12" ht="17.100000000000001" customHeight="1" x14ac:dyDescent="0.25">
      <c r="A31" s="64" t="s">
        <v>282</v>
      </c>
      <c r="B31" s="65" t="s">
        <v>299</v>
      </c>
      <c r="C31" s="66" t="s">
        <v>283</v>
      </c>
      <c r="D31" s="67">
        <v>31</v>
      </c>
      <c r="E31" s="122">
        <v>3726</v>
      </c>
      <c r="F31" s="135">
        <v>3</v>
      </c>
      <c r="G31" s="122">
        <v>0</v>
      </c>
      <c r="H31" s="68">
        <f t="shared" si="0"/>
        <v>3729</v>
      </c>
      <c r="I31" s="82">
        <v>477</v>
      </c>
      <c r="J31" s="139">
        <f t="shared" si="1"/>
        <v>1778733</v>
      </c>
      <c r="K31" s="141"/>
      <c r="L31" s="131"/>
    </row>
    <row r="32" spans="1:12" ht="17.100000000000001" customHeight="1" x14ac:dyDescent="0.25">
      <c r="A32" s="64" t="s">
        <v>282</v>
      </c>
      <c r="B32" s="65" t="s">
        <v>299</v>
      </c>
      <c r="C32" s="66" t="s">
        <v>283</v>
      </c>
      <c r="D32" s="67">
        <v>32</v>
      </c>
      <c r="E32" s="122">
        <v>0</v>
      </c>
      <c r="F32" s="135">
        <v>3</v>
      </c>
      <c r="G32" s="122">
        <v>0</v>
      </c>
      <c r="H32" s="68">
        <f t="shared" si="0"/>
        <v>3</v>
      </c>
      <c r="I32" s="77">
        <v>477</v>
      </c>
      <c r="J32" s="139">
        <f t="shared" si="1"/>
        <v>1431</v>
      </c>
      <c r="K32" s="141"/>
      <c r="L32" s="131"/>
    </row>
    <row r="33" spans="1:13" ht="17.100000000000001" customHeight="1" x14ac:dyDescent="0.25">
      <c r="A33" s="64" t="s">
        <v>282</v>
      </c>
      <c r="B33" s="65" t="s">
        <v>299</v>
      </c>
      <c r="C33" s="66" t="s">
        <v>283</v>
      </c>
      <c r="D33" s="67">
        <v>33</v>
      </c>
      <c r="E33" s="122">
        <v>2</v>
      </c>
      <c r="F33" s="135">
        <v>5</v>
      </c>
      <c r="G33" s="122">
        <v>0</v>
      </c>
      <c r="H33" s="68">
        <f t="shared" si="0"/>
        <v>7</v>
      </c>
      <c r="I33" s="77">
        <v>477</v>
      </c>
      <c r="J33" s="139">
        <f t="shared" si="1"/>
        <v>3339</v>
      </c>
      <c r="K33" s="141"/>
      <c r="L33" s="131"/>
    </row>
    <row r="34" spans="1:13" ht="17.100000000000001" customHeight="1" x14ac:dyDescent="0.25">
      <c r="A34" s="64" t="s">
        <v>282</v>
      </c>
      <c r="B34" s="65" t="s">
        <v>299</v>
      </c>
      <c r="C34" s="66" t="s">
        <v>283</v>
      </c>
      <c r="D34" s="67">
        <v>34</v>
      </c>
      <c r="E34" s="122">
        <v>2436</v>
      </c>
      <c r="F34" s="135">
        <v>4171</v>
      </c>
      <c r="G34" s="122">
        <v>0</v>
      </c>
      <c r="H34" s="68">
        <f t="shared" si="0"/>
        <v>6607</v>
      </c>
      <c r="I34" s="77">
        <v>500</v>
      </c>
      <c r="J34" s="139">
        <f t="shared" si="1"/>
        <v>3303500</v>
      </c>
      <c r="K34" s="141"/>
      <c r="L34" s="131"/>
    </row>
    <row r="35" spans="1:13" ht="16.5" customHeight="1" x14ac:dyDescent="0.25">
      <c r="A35" s="64" t="s">
        <v>282</v>
      </c>
      <c r="B35" s="65" t="s">
        <v>299</v>
      </c>
      <c r="C35" s="66" t="s">
        <v>283</v>
      </c>
      <c r="D35" s="67">
        <v>35</v>
      </c>
      <c r="E35" s="122">
        <v>2698</v>
      </c>
      <c r="F35" s="135">
        <v>8407</v>
      </c>
      <c r="G35" s="122">
        <v>0</v>
      </c>
      <c r="H35" s="68">
        <f t="shared" si="0"/>
        <v>11105</v>
      </c>
      <c r="I35" s="77">
        <v>500</v>
      </c>
      <c r="J35" s="139">
        <f t="shared" si="1"/>
        <v>5552500</v>
      </c>
      <c r="K35" s="141"/>
      <c r="L35" s="131"/>
    </row>
    <row r="36" spans="1:13" ht="17.100000000000001" customHeight="1" x14ac:dyDescent="0.25">
      <c r="A36" s="64" t="s">
        <v>282</v>
      </c>
      <c r="B36" s="65" t="s">
        <v>299</v>
      </c>
      <c r="C36" s="66" t="s">
        <v>283</v>
      </c>
      <c r="D36" s="67">
        <v>36</v>
      </c>
      <c r="E36" s="122">
        <v>3896</v>
      </c>
      <c r="F36" s="135">
        <v>8323</v>
      </c>
      <c r="G36" s="122">
        <v>0</v>
      </c>
      <c r="H36" s="68">
        <f t="shared" si="0"/>
        <v>12219</v>
      </c>
      <c r="I36" s="77">
        <v>500</v>
      </c>
      <c r="J36" s="139">
        <f t="shared" si="1"/>
        <v>6109500</v>
      </c>
      <c r="K36" s="141"/>
      <c r="L36" s="131"/>
    </row>
    <row r="37" spans="1:13" ht="17.100000000000001" customHeight="1" x14ac:dyDescent="0.25">
      <c r="A37" s="64" t="s">
        <v>282</v>
      </c>
      <c r="B37" s="65" t="s">
        <v>299</v>
      </c>
      <c r="C37" s="66" t="s">
        <v>283</v>
      </c>
      <c r="D37" s="67">
        <v>37</v>
      </c>
      <c r="E37" s="122">
        <v>12306</v>
      </c>
      <c r="F37" s="135">
        <v>9525</v>
      </c>
      <c r="G37" s="122">
        <v>0</v>
      </c>
      <c r="H37" s="68">
        <f t="shared" si="0"/>
        <v>21831</v>
      </c>
      <c r="I37" s="77">
        <v>500</v>
      </c>
      <c r="J37" s="139">
        <f t="shared" si="1"/>
        <v>10915500</v>
      </c>
      <c r="K37" s="141"/>
      <c r="L37" s="131"/>
    </row>
    <row r="38" spans="1:13" ht="17.100000000000001" customHeight="1" x14ac:dyDescent="0.25">
      <c r="A38" s="64" t="s">
        <v>282</v>
      </c>
      <c r="B38" s="65" t="s">
        <v>299</v>
      </c>
      <c r="C38" s="66" t="s">
        <v>283</v>
      </c>
      <c r="D38" s="67">
        <v>38</v>
      </c>
      <c r="E38" s="122">
        <v>10348</v>
      </c>
      <c r="F38" s="135">
        <v>9605</v>
      </c>
      <c r="G38" s="122">
        <v>0</v>
      </c>
      <c r="H38" s="68">
        <f t="shared" si="0"/>
        <v>19953</v>
      </c>
      <c r="I38" s="77">
        <v>500</v>
      </c>
      <c r="J38" s="139">
        <f t="shared" si="1"/>
        <v>9976500</v>
      </c>
      <c r="K38" s="141"/>
      <c r="L38" s="131"/>
    </row>
    <row r="39" spans="1:13" ht="17.100000000000001" customHeight="1" x14ac:dyDescent="0.25">
      <c r="A39" s="64" t="s">
        <v>282</v>
      </c>
      <c r="B39" s="65" t="s">
        <v>299</v>
      </c>
      <c r="C39" s="66" t="s">
        <v>283</v>
      </c>
      <c r="D39" s="67">
        <v>39</v>
      </c>
      <c r="E39" s="122">
        <v>18737</v>
      </c>
      <c r="F39" s="135">
        <v>8130</v>
      </c>
      <c r="G39" s="122">
        <v>0</v>
      </c>
      <c r="H39" s="68">
        <f t="shared" si="0"/>
        <v>26867</v>
      </c>
      <c r="I39" s="77">
        <v>500</v>
      </c>
      <c r="J39" s="139">
        <f t="shared" si="1"/>
        <v>13433500</v>
      </c>
      <c r="K39" s="141"/>
      <c r="L39" s="131"/>
      <c r="M39" s="83"/>
    </row>
    <row r="40" spans="1:13" ht="17.100000000000001" customHeight="1" x14ac:dyDescent="0.25">
      <c r="A40" s="64" t="s">
        <v>282</v>
      </c>
      <c r="B40" s="65" t="s">
        <v>299</v>
      </c>
      <c r="C40" s="66" t="s">
        <v>283</v>
      </c>
      <c r="D40" s="67">
        <v>40</v>
      </c>
      <c r="E40" s="122">
        <v>11291</v>
      </c>
      <c r="F40" s="135">
        <v>6082</v>
      </c>
      <c r="G40" s="122">
        <v>0</v>
      </c>
      <c r="H40" s="68">
        <f t="shared" si="0"/>
        <v>17373</v>
      </c>
      <c r="I40" s="77">
        <v>500</v>
      </c>
      <c r="J40" s="139">
        <f t="shared" si="1"/>
        <v>8686500</v>
      </c>
      <c r="K40" s="141"/>
      <c r="L40" s="131"/>
    </row>
    <row r="41" spans="1:13" ht="17.100000000000001" customHeight="1" x14ac:dyDescent="0.25">
      <c r="A41" s="64" t="s">
        <v>282</v>
      </c>
      <c r="B41" s="65" t="s">
        <v>299</v>
      </c>
      <c r="C41" s="66" t="s">
        <v>283</v>
      </c>
      <c r="D41" s="67">
        <v>41</v>
      </c>
      <c r="E41" s="122">
        <v>14024</v>
      </c>
      <c r="F41" s="135">
        <v>3101</v>
      </c>
      <c r="G41" s="122">
        <v>0</v>
      </c>
      <c r="H41" s="68">
        <f t="shared" si="0"/>
        <v>17125</v>
      </c>
      <c r="I41" s="77">
        <v>500</v>
      </c>
      <c r="J41" s="139">
        <f t="shared" si="1"/>
        <v>8562500</v>
      </c>
      <c r="K41" s="141"/>
      <c r="L41" s="131"/>
    </row>
    <row r="42" spans="1:13" ht="17.100000000000001" customHeight="1" x14ac:dyDescent="0.25">
      <c r="A42" s="64" t="s">
        <v>282</v>
      </c>
      <c r="B42" s="65" t="s">
        <v>299</v>
      </c>
      <c r="C42" s="66" t="s">
        <v>283</v>
      </c>
      <c r="D42" s="67">
        <v>42</v>
      </c>
      <c r="E42" s="122">
        <v>5248</v>
      </c>
      <c r="F42" s="135">
        <v>2320</v>
      </c>
      <c r="G42" s="122">
        <v>0</v>
      </c>
      <c r="H42" s="68">
        <f t="shared" si="0"/>
        <v>7568</v>
      </c>
      <c r="I42" s="77">
        <v>500</v>
      </c>
      <c r="J42" s="139">
        <f t="shared" si="1"/>
        <v>3784000</v>
      </c>
      <c r="K42" s="141"/>
      <c r="L42" s="131"/>
    </row>
    <row r="43" spans="1:13" ht="17.100000000000001" customHeight="1" x14ac:dyDescent="0.25">
      <c r="A43" s="64" t="s">
        <v>282</v>
      </c>
      <c r="B43" s="65" t="s">
        <v>299</v>
      </c>
      <c r="C43" s="66" t="s">
        <v>283</v>
      </c>
      <c r="D43" s="67">
        <v>43</v>
      </c>
      <c r="E43" s="122">
        <v>0</v>
      </c>
      <c r="F43" s="135">
        <v>295</v>
      </c>
      <c r="G43" s="122">
        <v>0</v>
      </c>
      <c r="H43" s="68">
        <f t="shared" si="0"/>
        <v>295</v>
      </c>
      <c r="I43" s="77">
        <v>500</v>
      </c>
      <c r="J43" s="139">
        <f t="shared" si="1"/>
        <v>147500</v>
      </c>
      <c r="K43" s="141"/>
      <c r="L43" s="131"/>
    </row>
    <row r="44" spans="1:13" ht="17.100000000000001" customHeight="1" x14ac:dyDescent="0.25">
      <c r="A44" s="64" t="s">
        <v>282</v>
      </c>
      <c r="B44" s="65" t="s">
        <v>299</v>
      </c>
      <c r="C44" s="66" t="s">
        <v>283</v>
      </c>
      <c r="D44" s="67">
        <v>44</v>
      </c>
      <c r="E44" s="122">
        <v>0</v>
      </c>
      <c r="F44" s="135">
        <v>95</v>
      </c>
      <c r="G44" s="122">
        <v>0</v>
      </c>
      <c r="H44" s="68">
        <f t="shared" si="0"/>
        <v>95</v>
      </c>
      <c r="I44" s="77">
        <v>500</v>
      </c>
      <c r="J44" s="139">
        <f t="shared" si="1"/>
        <v>47500</v>
      </c>
      <c r="K44" s="141"/>
      <c r="L44" s="131"/>
    </row>
    <row r="45" spans="1:13" ht="17.100000000000001" customHeight="1" x14ac:dyDescent="0.25">
      <c r="A45" s="64" t="s">
        <v>284</v>
      </c>
      <c r="B45" s="65" t="s">
        <v>299</v>
      </c>
      <c r="C45" s="66" t="s">
        <v>285</v>
      </c>
      <c r="D45" s="67">
        <v>27</v>
      </c>
      <c r="E45" s="122">
        <v>1219</v>
      </c>
      <c r="F45" s="122">
        <v>2</v>
      </c>
      <c r="G45" s="122">
        <v>0</v>
      </c>
      <c r="H45" s="68">
        <f t="shared" si="0"/>
        <v>1221</v>
      </c>
      <c r="I45" s="77">
        <v>477</v>
      </c>
      <c r="J45" s="139">
        <f t="shared" si="1"/>
        <v>582417</v>
      </c>
      <c r="K45" s="141"/>
      <c r="L45" s="131"/>
    </row>
    <row r="46" spans="1:13" ht="17.100000000000001" customHeight="1" x14ac:dyDescent="0.25">
      <c r="A46" s="64" t="s">
        <v>284</v>
      </c>
      <c r="B46" s="65" t="s">
        <v>299</v>
      </c>
      <c r="C46" s="66" t="s">
        <v>285</v>
      </c>
      <c r="D46" s="67">
        <v>28</v>
      </c>
      <c r="E46" s="122">
        <v>42</v>
      </c>
      <c r="F46" s="122">
        <v>4</v>
      </c>
      <c r="G46" s="122">
        <v>0</v>
      </c>
      <c r="H46" s="68">
        <f t="shared" si="0"/>
        <v>46</v>
      </c>
      <c r="I46" s="77">
        <v>477</v>
      </c>
      <c r="J46" s="139">
        <f t="shared" si="1"/>
        <v>21942</v>
      </c>
      <c r="K46" s="141"/>
      <c r="L46" s="131"/>
    </row>
    <row r="47" spans="1:13" ht="17.100000000000001" customHeight="1" x14ac:dyDescent="0.25">
      <c r="A47" s="64" t="s">
        <v>284</v>
      </c>
      <c r="B47" s="65" t="s">
        <v>299</v>
      </c>
      <c r="C47" s="66" t="s">
        <v>285</v>
      </c>
      <c r="D47" s="67">
        <v>29</v>
      </c>
      <c r="E47" s="122">
        <v>9002</v>
      </c>
      <c r="F47" s="122">
        <v>2141</v>
      </c>
      <c r="G47" s="122">
        <v>7060</v>
      </c>
      <c r="H47" s="68">
        <f t="shared" si="0"/>
        <v>18203</v>
      </c>
      <c r="I47" s="77">
        <v>477</v>
      </c>
      <c r="J47" s="139">
        <f t="shared" si="1"/>
        <v>8682831</v>
      </c>
      <c r="K47" s="141"/>
      <c r="L47" s="131"/>
    </row>
    <row r="48" spans="1:13" ht="17.100000000000001" customHeight="1" x14ac:dyDescent="0.25">
      <c r="A48" s="64" t="s">
        <v>284</v>
      </c>
      <c r="B48" s="65" t="s">
        <v>299</v>
      </c>
      <c r="C48" s="66" t="s">
        <v>285</v>
      </c>
      <c r="D48" s="67">
        <v>30</v>
      </c>
      <c r="E48" s="122">
        <v>1695</v>
      </c>
      <c r="F48" s="122">
        <v>1122</v>
      </c>
      <c r="G48" s="122">
        <v>0</v>
      </c>
      <c r="H48" s="68">
        <f t="shared" si="0"/>
        <v>2817</v>
      </c>
      <c r="I48" s="77">
        <v>477</v>
      </c>
      <c r="J48" s="139">
        <f t="shared" si="1"/>
        <v>1343709</v>
      </c>
      <c r="K48" s="141"/>
      <c r="L48" s="131"/>
    </row>
    <row r="49" spans="1:13" ht="17.100000000000001" customHeight="1" x14ac:dyDescent="0.25">
      <c r="A49" s="64" t="s">
        <v>284</v>
      </c>
      <c r="B49" s="65" t="s">
        <v>299</v>
      </c>
      <c r="C49" s="66" t="s">
        <v>285</v>
      </c>
      <c r="D49" s="67">
        <v>31</v>
      </c>
      <c r="E49" s="122">
        <v>16680</v>
      </c>
      <c r="F49" s="122">
        <v>3081</v>
      </c>
      <c r="G49" s="122">
        <v>0</v>
      </c>
      <c r="H49" s="68">
        <f t="shared" si="0"/>
        <v>19761</v>
      </c>
      <c r="I49" s="77">
        <v>477</v>
      </c>
      <c r="J49" s="139">
        <f t="shared" si="1"/>
        <v>9425997</v>
      </c>
      <c r="K49" s="141"/>
      <c r="L49" s="131"/>
    </row>
    <row r="50" spans="1:13" s="84" customFormat="1" ht="17.100000000000001" customHeight="1" x14ac:dyDescent="0.25">
      <c r="A50" s="64" t="s">
        <v>284</v>
      </c>
      <c r="B50" s="65" t="s">
        <v>299</v>
      </c>
      <c r="C50" s="66" t="s">
        <v>285</v>
      </c>
      <c r="D50" s="67">
        <v>32</v>
      </c>
      <c r="E50" s="122">
        <v>1587</v>
      </c>
      <c r="F50" s="122">
        <v>1</v>
      </c>
      <c r="G50" s="122">
        <v>0</v>
      </c>
      <c r="H50" s="68">
        <f t="shared" si="0"/>
        <v>1588</v>
      </c>
      <c r="I50" s="77">
        <v>477</v>
      </c>
      <c r="J50" s="139">
        <f t="shared" si="1"/>
        <v>757476</v>
      </c>
      <c r="K50" s="141"/>
      <c r="L50" s="131"/>
    </row>
    <row r="51" spans="1:13" ht="17.100000000000001" customHeight="1" x14ac:dyDescent="0.25">
      <c r="A51" s="64" t="s">
        <v>284</v>
      </c>
      <c r="B51" s="65" t="s">
        <v>299</v>
      </c>
      <c r="C51" s="66" t="s">
        <v>285</v>
      </c>
      <c r="D51" s="67">
        <v>33</v>
      </c>
      <c r="E51" s="122">
        <v>184</v>
      </c>
      <c r="F51" s="122">
        <v>7</v>
      </c>
      <c r="G51" s="122">
        <v>0</v>
      </c>
      <c r="H51" s="68">
        <f t="shared" si="0"/>
        <v>191</v>
      </c>
      <c r="I51" s="77">
        <v>477</v>
      </c>
      <c r="J51" s="139">
        <f t="shared" si="1"/>
        <v>91107</v>
      </c>
      <c r="K51" s="141"/>
      <c r="L51" s="131"/>
    </row>
    <row r="52" spans="1:13" s="84" customFormat="1" ht="17.100000000000001" customHeight="1" x14ac:dyDescent="0.25">
      <c r="A52" s="64" t="s">
        <v>284</v>
      </c>
      <c r="B52" s="65" t="s">
        <v>299</v>
      </c>
      <c r="C52" s="66" t="s">
        <v>285</v>
      </c>
      <c r="D52" s="67">
        <v>34</v>
      </c>
      <c r="E52" s="122">
        <v>3367</v>
      </c>
      <c r="F52" s="122">
        <v>23</v>
      </c>
      <c r="G52" s="122">
        <v>0</v>
      </c>
      <c r="H52" s="68">
        <f t="shared" si="0"/>
        <v>3390</v>
      </c>
      <c r="I52" s="77">
        <v>500</v>
      </c>
      <c r="J52" s="139">
        <f t="shared" si="1"/>
        <v>1695000</v>
      </c>
      <c r="K52" s="141"/>
      <c r="L52" s="131"/>
    </row>
    <row r="53" spans="1:13" s="84" customFormat="1" ht="17.100000000000001" customHeight="1" x14ac:dyDescent="0.25">
      <c r="A53" s="64" t="s">
        <v>284</v>
      </c>
      <c r="B53" s="65" t="s">
        <v>299</v>
      </c>
      <c r="C53" s="66" t="s">
        <v>285</v>
      </c>
      <c r="D53" s="67">
        <v>35</v>
      </c>
      <c r="E53" s="122">
        <v>538</v>
      </c>
      <c r="F53" s="122">
        <v>6888</v>
      </c>
      <c r="G53" s="122">
        <v>0</v>
      </c>
      <c r="H53" s="68">
        <f t="shared" si="0"/>
        <v>7426</v>
      </c>
      <c r="I53" s="77">
        <v>500</v>
      </c>
      <c r="J53" s="139">
        <f t="shared" si="1"/>
        <v>3713000</v>
      </c>
      <c r="K53" s="141"/>
      <c r="L53" s="131"/>
      <c r="M53" s="85"/>
    </row>
    <row r="54" spans="1:13" s="84" customFormat="1" ht="17.100000000000001" customHeight="1" x14ac:dyDescent="0.25">
      <c r="A54" s="64" t="s">
        <v>284</v>
      </c>
      <c r="B54" s="65" t="s">
        <v>299</v>
      </c>
      <c r="C54" s="66" t="s">
        <v>285</v>
      </c>
      <c r="D54" s="67">
        <v>36</v>
      </c>
      <c r="E54" s="122">
        <v>540</v>
      </c>
      <c r="F54" s="122">
        <v>2</v>
      </c>
      <c r="G54" s="122">
        <v>0</v>
      </c>
      <c r="H54" s="68">
        <f t="shared" si="0"/>
        <v>542</v>
      </c>
      <c r="I54" s="77">
        <v>500</v>
      </c>
      <c r="J54" s="139">
        <f t="shared" si="1"/>
        <v>271000</v>
      </c>
      <c r="K54" s="141"/>
      <c r="L54" s="131"/>
    </row>
    <row r="55" spans="1:13" s="84" customFormat="1" ht="17.100000000000001" customHeight="1" x14ac:dyDescent="0.25">
      <c r="A55" s="64" t="s">
        <v>284</v>
      </c>
      <c r="B55" s="65" t="s">
        <v>299</v>
      </c>
      <c r="C55" s="66" t="s">
        <v>285</v>
      </c>
      <c r="D55" s="67">
        <v>37</v>
      </c>
      <c r="E55" s="122">
        <v>245</v>
      </c>
      <c r="F55" s="122">
        <v>0</v>
      </c>
      <c r="G55" s="122">
        <v>0</v>
      </c>
      <c r="H55" s="68">
        <f t="shared" si="0"/>
        <v>245</v>
      </c>
      <c r="I55" s="77">
        <v>500</v>
      </c>
      <c r="J55" s="139">
        <f t="shared" si="1"/>
        <v>122500</v>
      </c>
      <c r="K55" s="141"/>
      <c r="L55" s="131"/>
    </row>
    <row r="56" spans="1:13" s="84" customFormat="1" ht="17.100000000000001" customHeight="1" x14ac:dyDescent="0.25">
      <c r="A56" s="64" t="s">
        <v>284</v>
      </c>
      <c r="B56" s="65" t="s">
        <v>299</v>
      </c>
      <c r="C56" s="66" t="s">
        <v>285</v>
      </c>
      <c r="D56" s="67">
        <v>38</v>
      </c>
      <c r="E56" s="122">
        <v>1900</v>
      </c>
      <c r="F56" s="122">
        <v>0</v>
      </c>
      <c r="G56" s="122">
        <v>0</v>
      </c>
      <c r="H56" s="68">
        <f t="shared" si="0"/>
        <v>1900</v>
      </c>
      <c r="I56" s="77">
        <v>500</v>
      </c>
      <c r="J56" s="139">
        <f t="shared" si="1"/>
        <v>950000</v>
      </c>
      <c r="K56" s="141"/>
      <c r="L56" s="131"/>
    </row>
    <row r="57" spans="1:13" s="84" customFormat="1" ht="17.100000000000001" customHeight="1" x14ac:dyDescent="0.25">
      <c r="A57" s="64" t="s">
        <v>284</v>
      </c>
      <c r="B57" s="65" t="s">
        <v>299</v>
      </c>
      <c r="C57" s="66" t="s">
        <v>285</v>
      </c>
      <c r="D57" s="67">
        <v>39</v>
      </c>
      <c r="E57" s="122">
        <v>5908</v>
      </c>
      <c r="F57" s="122">
        <v>4804</v>
      </c>
      <c r="G57" s="122">
        <v>1640</v>
      </c>
      <c r="H57" s="68">
        <f t="shared" si="0"/>
        <v>12352</v>
      </c>
      <c r="I57" s="77">
        <v>500</v>
      </c>
      <c r="J57" s="139">
        <f t="shared" si="1"/>
        <v>6176000</v>
      </c>
      <c r="K57" s="141"/>
      <c r="L57" s="131"/>
      <c r="M57" s="86"/>
    </row>
    <row r="58" spans="1:13" s="84" customFormat="1" ht="17.100000000000001" customHeight="1" x14ac:dyDescent="0.25">
      <c r="A58" s="64" t="s">
        <v>284</v>
      </c>
      <c r="B58" s="65" t="s">
        <v>299</v>
      </c>
      <c r="C58" s="66" t="s">
        <v>285</v>
      </c>
      <c r="D58" s="67">
        <v>40</v>
      </c>
      <c r="E58" s="122">
        <v>1343</v>
      </c>
      <c r="F58" s="122">
        <v>2405</v>
      </c>
      <c r="G58" s="122">
        <v>1040</v>
      </c>
      <c r="H58" s="68">
        <f t="shared" si="0"/>
        <v>4788</v>
      </c>
      <c r="I58" s="77">
        <v>500</v>
      </c>
      <c r="J58" s="139">
        <f t="shared" si="1"/>
        <v>2394000</v>
      </c>
      <c r="K58" s="141"/>
      <c r="L58" s="131"/>
    </row>
    <row r="59" spans="1:13" s="84" customFormat="1" x14ac:dyDescent="0.25">
      <c r="A59" s="64" t="s">
        <v>284</v>
      </c>
      <c r="B59" s="65" t="s">
        <v>299</v>
      </c>
      <c r="C59" s="66" t="s">
        <v>285</v>
      </c>
      <c r="D59" s="67">
        <v>41</v>
      </c>
      <c r="E59" s="122">
        <v>4278</v>
      </c>
      <c r="F59" s="122">
        <v>2160</v>
      </c>
      <c r="G59" s="122">
        <v>800</v>
      </c>
      <c r="H59" s="68">
        <f t="shared" si="0"/>
        <v>7238</v>
      </c>
      <c r="I59" s="77">
        <v>500</v>
      </c>
      <c r="J59" s="139">
        <f t="shared" si="1"/>
        <v>3619000</v>
      </c>
      <c r="K59" s="141"/>
      <c r="L59" s="131"/>
    </row>
    <row r="60" spans="1:13" s="84" customFormat="1" ht="15.75" customHeight="1" x14ac:dyDescent="0.25">
      <c r="A60" s="64" t="s">
        <v>284</v>
      </c>
      <c r="B60" s="65" t="s">
        <v>299</v>
      </c>
      <c r="C60" s="66" t="s">
        <v>285</v>
      </c>
      <c r="D60" s="67">
        <v>42</v>
      </c>
      <c r="E60" s="122">
        <v>1680</v>
      </c>
      <c r="F60" s="122">
        <v>1120</v>
      </c>
      <c r="G60" s="122">
        <v>800</v>
      </c>
      <c r="H60" s="68">
        <f t="shared" si="0"/>
        <v>3600</v>
      </c>
      <c r="I60" s="77">
        <v>500</v>
      </c>
      <c r="J60" s="139">
        <f t="shared" si="1"/>
        <v>1800000</v>
      </c>
      <c r="K60" s="141"/>
      <c r="L60" s="131"/>
    </row>
    <row r="61" spans="1:13" s="84" customFormat="1" ht="15.75" customHeight="1" x14ac:dyDescent="0.25">
      <c r="A61" s="64" t="s">
        <v>284</v>
      </c>
      <c r="B61" s="65" t="s">
        <v>299</v>
      </c>
      <c r="C61" s="66" t="s">
        <v>285</v>
      </c>
      <c r="D61" s="67">
        <v>43</v>
      </c>
      <c r="E61" s="122">
        <v>0</v>
      </c>
      <c r="F61" s="122">
        <v>3513</v>
      </c>
      <c r="G61" s="122">
        <v>0</v>
      </c>
      <c r="H61" s="68">
        <f t="shared" si="0"/>
        <v>3513</v>
      </c>
      <c r="I61" s="77">
        <v>500</v>
      </c>
      <c r="J61" s="139">
        <f t="shared" si="1"/>
        <v>1756500</v>
      </c>
      <c r="K61" s="141"/>
      <c r="L61" s="131"/>
    </row>
    <row r="62" spans="1:13" s="84" customFormat="1" ht="15.75" customHeight="1" x14ac:dyDescent="0.25">
      <c r="A62" s="64" t="s">
        <v>284</v>
      </c>
      <c r="B62" s="65" t="s">
        <v>299</v>
      </c>
      <c r="C62" s="66" t="s">
        <v>285</v>
      </c>
      <c r="D62" s="67">
        <v>44</v>
      </c>
      <c r="E62" s="122">
        <v>0</v>
      </c>
      <c r="F62" s="122">
        <v>1495</v>
      </c>
      <c r="G62" s="122">
        <v>0</v>
      </c>
      <c r="H62" s="68">
        <f t="shared" si="0"/>
        <v>1495</v>
      </c>
      <c r="I62" s="77">
        <v>500</v>
      </c>
      <c r="J62" s="139">
        <f t="shared" si="1"/>
        <v>747500</v>
      </c>
      <c r="K62" s="141"/>
      <c r="L62" s="131"/>
    </row>
    <row r="63" spans="1:13" s="84" customFormat="1" ht="15.75" customHeight="1" x14ac:dyDescent="0.25">
      <c r="A63" s="64" t="s">
        <v>284</v>
      </c>
      <c r="B63" s="65" t="s">
        <v>299</v>
      </c>
      <c r="C63" s="66" t="s">
        <v>285</v>
      </c>
      <c r="D63" s="67">
        <v>45</v>
      </c>
      <c r="E63" s="122">
        <v>0</v>
      </c>
      <c r="F63" s="122">
        <v>495</v>
      </c>
      <c r="G63" s="122">
        <v>0</v>
      </c>
      <c r="H63" s="68">
        <f t="shared" si="0"/>
        <v>495</v>
      </c>
      <c r="I63" s="77">
        <v>500</v>
      </c>
      <c r="J63" s="139">
        <f t="shared" si="1"/>
        <v>247500</v>
      </c>
      <c r="K63" s="141"/>
      <c r="L63" s="131"/>
    </row>
    <row r="64" spans="1:13" s="84" customFormat="1" ht="15.75" customHeight="1" x14ac:dyDescent="0.25">
      <c r="A64" s="64" t="s">
        <v>284</v>
      </c>
      <c r="B64" s="65" t="s">
        <v>299</v>
      </c>
      <c r="C64" s="66" t="s">
        <v>285</v>
      </c>
      <c r="D64" s="67">
        <v>46</v>
      </c>
      <c r="E64" s="122">
        <v>0</v>
      </c>
      <c r="F64" s="122">
        <v>81</v>
      </c>
      <c r="G64" s="122">
        <v>0</v>
      </c>
      <c r="H64" s="68">
        <f t="shared" si="0"/>
        <v>81</v>
      </c>
      <c r="I64" s="77">
        <v>500</v>
      </c>
      <c r="J64" s="139">
        <f t="shared" si="1"/>
        <v>40500</v>
      </c>
      <c r="K64" s="141"/>
      <c r="L64" s="131"/>
    </row>
    <row r="65" spans="1:12" s="84" customFormat="1" ht="15.75" customHeight="1" x14ac:dyDescent="0.25">
      <c r="A65" s="132" t="s">
        <v>286</v>
      </c>
      <c r="B65" s="65" t="s">
        <v>299</v>
      </c>
      <c r="C65" s="133" t="s">
        <v>287</v>
      </c>
      <c r="D65" s="134">
        <v>5</v>
      </c>
      <c r="E65" s="135">
        <v>48</v>
      </c>
      <c r="F65" s="135">
        <v>21025</v>
      </c>
      <c r="G65" s="135">
        <v>0</v>
      </c>
      <c r="H65" s="136">
        <f t="shared" si="0"/>
        <v>21073</v>
      </c>
      <c r="I65" s="137">
        <v>30.48</v>
      </c>
      <c r="J65" s="139">
        <f t="shared" si="1"/>
        <v>642305.04</v>
      </c>
      <c r="K65" s="141"/>
      <c r="L65" s="131"/>
    </row>
    <row r="66" spans="1:12" s="84" customFormat="1" ht="15.75" customHeight="1" x14ac:dyDescent="0.25">
      <c r="A66" s="132" t="s">
        <v>286</v>
      </c>
      <c r="B66" s="65" t="s">
        <v>299</v>
      </c>
      <c r="C66" s="133" t="s">
        <v>287</v>
      </c>
      <c r="D66" s="134">
        <v>6</v>
      </c>
      <c r="E66" s="135">
        <v>0</v>
      </c>
      <c r="F66" s="135">
        <v>2418</v>
      </c>
      <c r="G66" s="135">
        <v>0</v>
      </c>
      <c r="H66" s="136">
        <f t="shared" si="0"/>
        <v>2418</v>
      </c>
      <c r="I66" s="137">
        <v>30.48</v>
      </c>
      <c r="J66" s="139">
        <f t="shared" si="1"/>
        <v>73700.639999999999</v>
      </c>
      <c r="K66" s="141"/>
      <c r="L66" s="131"/>
    </row>
    <row r="67" spans="1:12" s="84" customFormat="1" ht="15.75" customHeight="1" x14ac:dyDescent="0.25">
      <c r="A67" s="132" t="s">
        <v>286</v>
      </c>
      <c r="B67" s="65" t="s">
        <v>299</v>
      </c>
      <c r="C67" s="133" t="s">
        <v>287</v>
      </c>
      <c r="D67" s="134">
        <v>7</v>
      </c>
      <c r="E67" s="135">
        <v>48</v>
      </c>
      <c r="F67" s="135">
        <v>62039</v>
      </c>
      <c r="G67" s="135">
        <v>0</v>
      </c>
      <c r="H67" s="136">
        <f t="shared" si="0"/>
        <v>62087</v>
      </c>
      <c r="I67" s="137">
        <v>30.48</v>
      </c>
      <c r="J67" s="139">
        <f t="shared" si="1"/>
        <v>1892411.76</v>
      </c>
      <c r="K67" s="141"/>
      <c r="L67" s="131"/>
    </row>
    <row r="68" spans="1:12" s="84" customFormat="1" ht="15.75" customHeight="1" x14ac:dyDescent="0.25">
      <c r="A68" s="132" t="s">
        <v>286</v>
      </c>
      <c r="B68" s="65" t="s">
        <v>299</v>
      </c>
      <c r="C68" s="133" t="s">
        <v>287</v>
      </c>
      <c r="D68" s="134">
        <v>8</v>
      </c>
      <c r="E68" s="135">
        <v>65</v>
      </c>
      <c r="F68" s="135">
        <v>118026</v>
      </c>
      <c r="G68" s="135">
        <v>0</v>
      </c>
      <c r="H68" s="136">
        <f t="shared" si="0"/>
        <v>118091</v>
      </c>
      <c r="I68" s="137">
        <v>31.41</v>
      </c>
      <c r="J68" s="139">
        <f t="shared" si="1"/>
        <v>3709238.31</v>
      </c>
      <c r="K68" s="141"/>
      <c r="L68" s="131"/>
    </row>
    <row r="69" spans="1:12" ht="15.75" customHeight="1" x14ac:dyDescent="0.25">
      <c r="A69" s="132" t="s">
        <v>286</v>
      </c>
      <c r="B69" s="65" t="s">
        <v>299</v>
      </c>
      <c r="C69" s="133" t="s">
        <v>287</v>
      </c>
      <c r="D69" s="134">
        <v>9</v>
      </c>
      <c r="E69" s="135">
        <v>237</v>
      </c>
      <c r="F69" s="135">
        <v>55958</v>
      </c>
      <c r="G69" s="135">
        <v>0</v>
      </c>
      <c r="H69" s="136">
        <f>+E69+F69+G69</f>
        <v>56195</v>
      </c>
      <c r="I69" s="137">
        <v>31.41</v>
      </c>
      <c r="J69" s="139">
        <f t="shared" ref="J69:J72" si="2">+H69*I69</f>
        <v>1765084.95</v>
      </c>
      <c r="K69" s="141"/>
      <c r="L69" s="131"/>
    </row>
    <row r="70" spans="1:12" ht="15.75" customHeight="1" x14ac:dyDescent="0.25">
      <c r="A70" s="132" t="s">
        <v>286</v>
      </c>
      <c r="B70" s="65" t="s">
        <v>299</v>
      </c>
      <c r="C70" s="133" t="s">
        <v>287</v>
      </c>
      <c r="D70" s="134">
        <v>10</v>
      </c>
      <c r="E70" s="135">
        <v>1</v>
      </c>
      <c r="F70" s="135">
        <v>105</v>
      </c>
      <c r="G70" s="135">
        <v>0</v>
      </c>
      <c r="H70" s="136">
        <f>+E70+F70+G70</f>
        <v>106</v>
      </c>
      <c r="I70" s="137">
        <v>31.41</v>
      </c>
      <c r="J70" s="139">
        <f t="shared" si="2"/>
        <v>3329.46</v>
      </c>
      <c r="K70" s="141"/>
      <c r="L70" s="131"/>
    </row>
    <row r="71" spans="1:12" ht="15.75" customHeight="1" x14ac:dyDescent="0.25">
      <c r="A71" s="132" t="s">
        <v>288</v>
      </c>
      <c r="B71" s="65" t="s">
        <v>299</v>
      </c>
      <c r="C71" s="133" t="s">
        <v>289</v>
      </c>
      <c r="D71" s="134" t="s">
        <v>290</v>
      </c>
      <c r="E71" s="135">
        <v>996</v>
      </c>
      <c r="F71" s="135">
        <v>266</v>
      </c>
      <c r="G71" s="135">
        <v>0</v>
      </c>
      <c r="H71" s="136">
        <f>+E71+F71+G71</f>
        <v>1262</v>
      </c>
      <c r="I71" s="138">
        <v>436.6</v>
      </c>
      <c r="J71" s="139">
        <f t="shared" si="2"/>
        <v>550989.20000000007</v>
      </c>
      <c r="K71" s="141"/>
      <c r="L71" s="131"/>
    </row>
    <row r="72" spans="1:12" ht="15.75" customHeight="1" x14ac:dyDescent="0.25">
      <c r="A72" s="132" t="s">
        <v>288</v>
      </c>
      <c r="B72" s="65" t="s">
        <v>299</v>
      </c>
      <c r="C72" s="133" t="s">
        <v>289</v>
      </c>
      <c r="D72" s="134" t="s">
        <v>291</v>
      </c>
      <c r="E72" s="135">
        <v>30960</v>
      </c>
      <c r="F72" s="135">
        <v>1109</v>
      </c>
      <c r="G72" s="135">
        <v>29496</v>
      </c>
      <c r="H72" s="136">
        <f>+E72+F72+G72</f>
        <v>61565</v>
      </c>
      <c r="I72" s="137">
        <v>394.65</v>
      </c>
      <c r="J72" s="139">
        <f t="shared" si="2"/>
        <v>24296627.25</v>
      </c>
      <c r="K72" s="141"/>
      <c r="L72" s="131"/>
    </row>
    <row r="73" spans="1:12" ht="15.75" customHeight="1" thickBot="1" x14ac:dyDescent="0.3">
      <c r="A73" s="174" t="s">
        <v>208</v>
      </c>
      <c r="B73" s="175"/>
      <c r="C73" s="175"/>
      <c r="D73" s="175"/>
      <c r="E73" s="175"/>
      <c r="F73" s="175"/>
      <c r="G73" s="175"/>
      <c r="H73" s="175"/>
      <c r="I73" s="175"/>
      <c r="J73" s="140">
        <f>SUM(J4:J72)</f>
        <v>235174096.11999995</v>
      </c>
      <c r="K73" s="142"/>
      <c r="L73" s="131"/>
    </row>
    <row r="74" spans="1:12" ht="15.75" customHeight="1" x14ac:dyDescent="0.25">
      <c r="A74" s="87"/>
      <c r="B74" s="88"/>
      <c r="C74" s="89"/>
      <c r="D74" s="89"/>
      <c r="E74" s="125"/>
      <c r="F74" s="125"/>
      <c r="G74" s="125"/>
      <c r="H74" s="89"/>
      <c r="I74" s="90"/>
      <c r="J74" s="87"/>
      <c r="K74" s="144"/>
    </row>
    <row r="75" spans="1:12" ht="15.75" customHeight="1" x14ac:dyDescent="0.25">
      <c r="A75" s="87"/>
      <c r="B75" s="87"/>
      <c r="C75" s="87"/>
      <c r="D75" s="87"/>
      <c r="E75" s="126"/>
      <c r="F75" s="126"/>
      <c r="G75" s="126"/>
      <c r="H75" s="87"/>
      <c r="I75" s="87"/>
      <c r="J75" s="87"/>
    </row>
    <row r="76" spans="1:12" ht="21" customHeight="1" x14ac:dyDescent="0.25">
      <c r="A76" s="120" t="s">
        <v>294</v>
      </c>
      <c r="B76" s="120"/>
      <c r="C76" s="120"/>
      <c r="D76" s="87"/>
      <c r="E76" s="126"/>
      <c r="F76" s="126"/>
      <c r="G76" s="126"/>
      <c r="H76" s="87"/>
      <c r="I76" s="87"/>
      <c r="J76" s="130"/>
    </row>
    <row r="77" spans="1:12" ht="16.5" customHeight="1" x14ac:dyDescent="0.25">
      <c r="A77" s="118"/>
      <c r="B77" s="88" t="s">
        <v>104</v>
      </c>
      <c r="C77" s="119"/>
      <c r="D77" s="70"/>
      <c r="E77" s="127"/>
      <c r="F77" s="127"/>
      <c r="G77" s="127"/>
      <c r="I77" s="91"/>
      <c r="J77" s="91"/>
    </row>
    <row r="78" spans="1:12" ht="15.75" customHeight="1" x14ac:dyDescent="0.25">
      <c r="B78" s="70"/>
      <c r="C78" s="70"/>
      <c r="D78" s="70"/>
      <c r="E78" s="127"/>
      <c r="F78" s="127"/>
      <c r="G78" s="127"/>
      <c r="H78" s="70"/>
      <c r="I78" s="70"/>
    </row>
    <row r="79" spans="1:12" ht="16.5" customHeight="1" x14ac:dyDescent="0.25">
      <c r="B79" s="70"/>
      <c r="C79" s="70"/>
      <c r="D79" s="70"/>
      <c r="E79" s="127"/>
      <c r="F79" s="127"/>
      <c r="G79" s="127"/>
      <c r="H79" s="70"/>
      <c r="I79" s="70"/>
    </row>
    <row r="80" spans="1:12" ht="15.75" customHeight="1" x14ac:dyDescent="0.25">
      <c r="B80" s="70"/>
      <c r="C80" s="70"/>
      <c r="D80" s="70"/>
      <c r="E80" s="127"/>
      <c r="F80" s="127"/>
      <c r="G80" s="127"/>
      <c r="H80" s="70"/>
      <c r="I80" s="70"/>
    </row>
    <row r="81" spans="5:7" s="92" customFormat="1" ht="15.75" customHeight="1" x14ac:dyDescent="0.2">
      <c r="E81" s="128"/>
      <c r="F81" s="128"/>
      <c r="G81" s="128"/>
    </row>
    <row r="82" spans="5:7" s="92" customFormat="1" ht="15.75" customHeight="1" x14ac:dyDescent="0.2">
      <c r="E82" s="128"/>
      <c r="F82" s="128"/>
      <c r="G82" s="128"/>
    </row>
    <row r="83" spans="5:7" s="92" customFormat="1" ht="15.75" customHeight="1" x14ac:dyDescent="0.2">
      <c r="E83" s="128"/>
      <c r="F83" s="128"/>
      <c r="G83" s="128"/>
    </row>
    <row r="84" spans="5:7" s="92" customFormat="1" ht="15.75" customHeight="1" x14ac:dyDescent="0.2">
      <c r="E84" s="128"/>
      <c r="F84" s="128"/>
      <c r="G84" s="128"/>
    </row>
    <row r="85" spans="5:7" s="92" customFormat="1" ht="15.75" customHeight="1" x14ac:dyDescent="0.2">
      <c r="E85" s="128"/>
      <c r="F85" s="128"/>
      <c r="G85" s="128"/>
    </row>
    <row r="86" spans="5:7" s="92" customFormat="1" ht="15.75" customHeight="1" x14ac:dyDescent="0.2">
      <c r="E86" s="128"/>
      <c r="F86" s="128"/>
      <c r="G86" s="128"/>
    </row>
    <row r="87" spans="5:7" s="92" customFormat="1" ht="15.75" customHeight="1" x14ac:dyDescent="0.2">
      <c r="E87" s="128"/>
      <c r="F87" s="128"/>
      <c r="G87" s="128"/>
    </row>
    <row r="88" spans="5:7" s="92" customFormat="1" ht="15.75" customHeight="1" x14ac:dyDescent="0.2">
      <c r="E88" s="128"/>
      <c r="F88" s="128"/>
      <c r="G88" s="128"/>
    </row>
    <row r="89" spans="5:7" s="92" customFormat="1" ht="15.75" customHeight="1" x14ac:dyDescent="0.2">
      <c r="E89" s="128"/>
      <c r="F89" s="128"/>
      <c r="G89" s="128"/>
    </row>
    <row r="90" spans="5:7" s="92" customFormat="1" ht="15.75" customHeight="1" x14ac:dyDescent="0.2">
      <c r="E90" s="128"/>
      <c r="F90" s="128"/>
      <c r="G90" s="128"/>
    </row>
    <row r="91" spans="5:7" s="92" customFormat="1" ht="15.75" customHeight="1" x14ac:dyDescent="0.2">
      <c r="E91" s="128"/>
      <c r="F91" s="128"/>
      <c r="G91" s="128"/>
    </row>
    <row r="92" spans="5:7" s="92" customFormat="1" ht="15.75" customHeight="1" x14ac:dyDescent="0.2">
      <c r="E92" s="128"/>
      <c r="F92" s="128"/>
      <c r="G92" s="128"/>
    </row>
    <row r="93" spans="5:7" s="92" customFormat="1" ht="15.75" customHeight="1" x14ac:dyDescent="0.2">
      <c r="E93" s="128"/>
      <c r="F93" s="128"/>
      <c r="G93" s="128"/>
    </row>
    <row r="94" spans="5:7" s="92" customFormat="1" ht="15.75" customHeight="1" x14ac:dyDescent="0.2">
      <c r="E94" s="128"/>
      <c r="F94" s="128"/>
      <c r="G94" s="128"/>
    </row>
    <row r="95" spans="5:7" s="92" customFormat="1" ht="15.75" customHeight="1" x14ac:dyDescent="0.2">
      <c r="E95" s="128"/>
      <c r="F95" s="128"/>
      <c r="G95" s="128"/>
    </row>
    <row r="96" spans="5:7" s="92" customFormat="1" ht="15.75" customHeight="1" x14ac:dyDescent="0.2">
      <c r="E96" s="128"/>
      <c r="F96" s="128"/>
      <c r="G96" s="128"/>
    </row>
    <row r="97" spans="5:7" s="92" customFormat="1" ht="15.75" customHeight="1" x14ac:dyDescent="0.2">
      <c r="E97" s="128"/>
      <c r="F97" s="128"/>
      <c r="G97" s="128"/>
    </row>
    <row r="98" spans="5:7" s="92" customFormat="1" ht="15.75" customHeight="1" x14ac:dyDescent="0.2">
      <c r="E98" s="128"/>
      <c r="F98" s="128"/>
      <c r="G98" s="128"/>
    </row>
    <row r="99" spans="5:7" s="92" customFormat="1" ht="15.75" customHeight="1" x14ac:dyDescent="0.2">
      <c r="E99" s="128"/>
      <c r="F99" s="128"/>
      <c r="G99" s="128"/>
    </row>
    <row r="100" spans="5:7" s="92" customFormat="1" ht="15.75" customHeight="1" x14ac:dyDescent="0.2">
      <c r="E100" s="128"/>
      <c r="F100" s="128"/>
      <c r="G100" s="128"/>
    </row>
    <row r="101" spans="5:7" s="92" customFormat="1" ht="15.75" customHeight="1" x14ac:dyDescent="0.2">
      <c r="E101" s="128"/>
      <c r="F101" s="128"/>
      <c r="G101" s="128"/>
    </row>
    <row r="102" spans="5:7" s="92" customFormat="1" ht="15.75" customHeight="1" x14ac:dyDescent="0.2">
      <c r="E102" s="128"/>
      <c r="F102" s="128"/>
      <c r="G102" s="128"/>
    </row>
    <row r="103" spans="5:7" s="92" customFormat="1" ht="15.75" customHeight="1" x14ac:dyDescent="0.2">
      <c r="E103" s="128"/>
      <c r="F103" s="128"/>
      <c r="G103" s="128"/>
    </row>
    <row r="104" spans="5:7" s="92" customFormat="1" ht="15.75" customHeight="1" x14ac:dyDescent="0.2">
      <c r="E104" s="128"/>
      <c r="F104" s="128"/>
      <c r="G104" s="128"/>
    </row>
    <row r="105" spans="5:7" s="92" customFormat="1" ht="15.75" customHeight="1" x14ac:dyDescent="0.2">
      <c r="E105" s="128"/>
      <c r="F105" s="128"/>
      <c r="G105" s="128"/>
    </row>
    <row r="106" spans="5:7" s="92" customFormat="1" ht="15.75" customHeight="1" x14ac:dyDescent="0.2">
      <c r="E106" s="128"/>
      <c r="F106" s="128"/>
      <c r="G106" s="128"/>
    </row>
    <row r="107" spans="5:7" s="92" customFormat="1" ht="15.75" customHeight="1" x14ac:dyDescent="0.2">
      <c r="E107" s="128"/>
      <c r="F107" s="128"/>
      <c r="G107" s="128"/>
    </row>
    <row r="108" spans="5:7" s="92" customFormat="1" ht="15.75" customHeight="1" x14ac:dyDescent="0.2">
      <c r="E108" s="128"/>
      <c r="F108" s="128"/>
      <c r="G108" s="128"/>
    </row>
    <row r="109" spans="5:7" s="92" customFormat="1" ht="15.75" customHeight="1" x14ac:dyDescent="0.2">
      <c r="E109" s="128"/>
      <c r="F109" s="128"/>
      <c r="G109" s="128"/>
    </row>
    <row r="110" spans="5:7" s="92" customFormat="1" ht="15.75" customHeight="1" x14ac:dyDescent="0.2">
      <c r="E110" s="128"/>
      <c r="F110" s="128"/>
      <c r="G110" s="128"/>
    </row>
    <row r="111" spans="5:7" s="92" customFormat="1" ht="15.75" customHeight="1" x14ac:dyDescent="0.2">
      <c r="E111" s="128"/>
      <c r="F111" s="128"/>
      <c r="G111" s="128"/>
    </row>
  </sheetData>
  <mergeCells count="3">
    <mergeCell ref="A1:J1"/>
    <mergeCell ref="A2:J2"/>
    <mergeCell ref="A73:I73"/>
  </mergeCells>
  <printOptions horizontalCentered="1"/>
  <pageMargins left="0.23622047244094491" right="3.937007874015748E-2" top="0.15748031496062992" bottom="0.70866141732283472" header="1.0236220472440944" footer="0.31496062992125984"/>
  <pageSetup scale="75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Inventario Cocina al 30-04-18 f</vt:lpstr>
      <vt:lpstr>Inv.  Material Gast.30-04-18 F</vt:lpstr>
      <vt:lpstr>Textil 30-04-18</vt:lpstr>
      <vt:lpstr>'Textil 30-04-18'!Print_Area</vt:lpstr>
      <vt:lpstr>'Textil 30-04-18'!Print_Titles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Rafael Adames Gutierrez</dc:creator>
  <cp:lastModifiedBy>Henry Rafael Adames Gutierrez</cp:lastModifiedBy>
  <cp:lastPrinted>2018-05-10T19:12:02Z</cp:lastPrinted>
  <dcterms:created xsi:type="dcterms:W3CDTF">2018-05-03T13:15:04Z</dcterms:created>
  <dcterms:modified xsi:type="dcterms:W3CDTF">2018-05-10T19:13:51Z</dcterms:modified>
</cp:coreProperties>
</file>