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hury.lopez\Desktop\Inv. Por Mes\"/>
    </mc:Choice>
  </mc:AlternateContent>
  <bookViews>
    <workbookView xWindow="0" yWindow="0" windowWidth="28770" windowHeight="11760"/>
  </bookViews>
  <sheets>
    <sheet name="Inv. Textil" sheetId="6" r:id="rId1"/>
    <sheet name="Utensilios De Limpieza y Cocina" sheetId="4" r:id="rId2"/>
    <sheet name="Material Gastable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4" i="4" l="1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" i="4"/>
  <c r="G142" i="4"/>
  <c r="G139" i="4"/>
  <c r="G138" i="4"/>
  <c r="E138" i="4"/>
  <c r="G135" i="4"/>
  <c r="E132" i="4"/>
  <c r="G132" i="4" s="1"/>
  <c r="G131" i="4"/>
  <c r="E130" i="4"/>
  <c r="G130" i="4" s="1"/>
  <c r="G129" i="4"/>
  <c r="G127" i="4"/>
  <c r="E126" i="4"/>
  <c r="G126" i="4" s="1"/>
  <c r="G125" i="4"/>
  <c r="G123" i="4"/>
  <c r="G122" i="4"/>
  <c r="G121" i="4"/>
  <c r="G120" i="4"/>
  <c r="G119" i="4"/>
  <c r="E117" i="4"/>
  <c r="G117" i="4" s="1"/>
  <c r="E116" i="4"/>
  <c r="G116" i="4" s="1"/>
  <c r="G115" i="4"/>
  <c r="E114" i="4"/>
  <c r="G114" i="4" s="1"/>
  <c r="G113" i="4"/>
  <c r="E109" i="4"/>
  <c r="G109" i="4" s="1"/>
  <c r="G107" i="4"/>
  <c r="G106" i="4"/>
  <c r="E106" i="4"/>
  <c r="G105" i="4"/>
  <c r="G104" i="4"/>
  <c r="G102" i="4"/>
  <c r="G100" i="4"/>
  <c r="G99" i="4"/>
  <c r="G98" i="4"/>
  <c r="G97" i="4"/>
  <c r="G96" i="4"/>
  <c r="E95" i="4"/>
  <c r="G95" i="4" s="1"/>
  <c r="E94" i="4"/>
  <c r="G94" i="4" s="1"/>
  <c r="G93" i="4"/>
  <c r="G91" i="4"/>
  <c r="G89" i="4"/>
  <c r="E89" i="4"/>
  <c r="E88" i="4"/>
  <c r="G88" i="4" s="1"/>
  <c r="E86" i="4"/>
  <c r="G86" i="4" s="1"/>
  <c r="E85" i="4"/>
  <c r="G85" i="4" s="1"/>
  <c r="G83" i="4"/>
  <c r="E80" i="4"/>
  <c r="G80" i="4" s="1"/>
  <c r="G77" i="4"/>
  <c r="G76" i="4"/>
  <c r="G74" i="4"/>
  <c r="G73" i="4"/>
  <c r="G71" i="4"/>
  <c r="G70" i="4"/>
  <c r="G69" i="4"/>
  <c r="E68" i="4"/>
  <c r="G68" i="4" s="1"/>
  <c r="G61" i="4"/>
  <c r="G60" i="4"/>
  <c r="E59" i="4"/>
  <c r="G59" i="4" s="1"/>
  <c r="G58" i="4"/>
  <c r="E57" i="4"/>
  <c r="G57" i="4" s="1"/>
  <c r="G55" i="4"/>
  <c r="E53" i="4"/>
  <c r="G53" i="4" s="1"/>
  <c r="E52" i="4"/>
  <c r="G52" i="4" s="1"/>
  <c r="G51" i="4"/>
  <c r="G50" i="4"/>
  <c r="E48" i="4"/>
  <c r="G48" i="4" s="1"/>
  <c r="G46" i="4"/>
  <c r="E45" i="4"/>
  <c r="G45" i="4" s="1"/>
  <c r="E44" i="4"/>
  <c r="G44" i="4" s="1"/>
  <c r="G43" i="4"/>
  <c r="G42" i="4"/>
  <c r="G40" i="4"/>
  <c r="G38" i="4"/>
  <c r="G37" i="4"/>
  <c r="G36" i="4"/>
  <c r="G35" i="4"/>
  <c r="G34" i="4"/>
  <c r="G33" i="4"/>
  <c r="G31" i="4"/>
  <c r="G27" i="4"/>
  <c r="G26" i="4"/>
  <c r="E25" i="4"/>
  <c r="G25" i="4" s="1"/>
  <c r="G24" i="4"/>
  <c r="G20" i="4"/>
  <c r="E20" i="4"/>
  <c r="G17" i="4"/>
  <c r="G16" i="4"/>
  <c r="G14" i="4"/>
  <c r="H284" i="5" l="1"/>
  <c r="H283" i="5"/>
  <c r="H282" i="5"/>
  <c r="H281" i="5"/>
  <c r="H280" i="5"/>
  <c r="H279" i="5"/>
  <c r="H278" i="5"/>
  <c r="H277" i="5"/>
  <c r="H276" i="5"/>
  <c r="H275" i="5"/>
  <c r="H274" i="5"/>
  <c r="H273" i="5"/>
  <c r="H272" i="5"/>
  <c r="E271" i="5"/>
  <c r="H271" i="5" s="1"/>
  <c r="E270" i="5"/>
  <c r="H270" i="5" s="1"/>
  <c r="H269" i="5"/>
  <c r="H268" i="5"/>
  <c r="H267" i="5"/>
  <c r="H266" i="5"/>
  <c r="H265" i="5"/>
  <c r="H264" i="5"/>
  <c r="H263" i="5"/>
  <c r="H262" i="5"/>
  <c r="H261" i="5"/>
  <c r="E261" i="5"/>
  <c r="E260" i="5"/>
  <c r="H260" i="5" s="1"/>
  <c r="H259" i="5"/>
  <c r="H258" i="5"/>
  <c r="E258" i="5"/>
  <c r="H257" i="5"/>
  <c r="H256" i="5"/>
  <c r="H255" i="5"/>
  <c r="H254" i="5"/>
  <c r="H253" i="5"/>
  <c r="H252" i="5"/>
  <c r="H251" i="5"/>
  <c r="E251" i="5"/>
  <c r="E250" i="5"/>
  <c r="H250" i="5" s="1"/>
  <c r="H249" i="5"/>
  <c r="H248" i="5"/>
  <c r="H247" i="5"/>
  <c r="H246" i="5"/>
  <c r="H245" i="5"/>
  <c r="E245" i="5"/>
  <c r="E244" i="5"/>
  <c r="H244" i="5" s="1"/>
  <c r="H243" i="5"/>
  <c r="E243" i="5"/>
  <c r="H242" i="5"/>
  <c r="E241" i="5"/>
  <c r="H241" i="5" s="1"/>
  <c r="E240" i="5"/>
  <c r="H240" i="5" s="1"/>
  <c r="H239" i="5"/>
  <c r="E239" i="5"/>
  <c r="E238" i="5"/>
  <c r="H238" i="5" s="1"/>
  <c r="E237" i="5"/>
  <c r="H237" i="5" s="1"/>
  <c r="H236" i="5"/>
  <c r="H235" i="5"/>
  <c r="H234" i="5"/>
  <c r="E234" i="5"/>
  <c r="E233" i="5"/>
  <c r="H233" i="5" s="1"/>
  <c r="E232" i="5"/>
  <c r="H232" i="5" s="1"/>
  <c r="H231" i="5"/>
  <c r="E230" i="5"/>
  <c r="H230" i="5" s="1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E217" i="5"/>
  <c r="H216" i="5"/>
  <c r="H215" i="5"/>
  <c r="H214" i="5"/>
  <c r="E213" i="5"/>
  <c r="H213" i="5" s="1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E187" i="5"/>
  <c r="E186" i="5"/>
  <c r="H186" i="5" s="1"/>
  <c r="H185" i="5"/>
  <c r="H184" i="5"/>
  <c r="E183" i="5"/>
  <c r="H183" i="5" s="1"/>
  <c r="H182" i="5"/>
  <c r="E182" i="5"/>
  <c r="H181" i="5"/>
  <c r="H179" i="5"/>
  <c r="E179" i="5"/>
  <c r="H178" i="5"/>
  <c r="E177" i="5"/>
  <c r="H177" i="5" s="1"/>
  <c r="H176" i="5"/>
  <c r="E175" i="5"/>
  <c r="H175" i="5" s="1"/>
  <c r="H174" i="5"/>
  <c r="E174" i="5"/>
  <c r="H173" i="5"/>
  <c r="E172" i="5"/>
  <c r="H172" i="5" s="1"/>
  <c r="H171" i="5"/>
  <c r="E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E150" i="5"/>
  <c r="H150" i="5" s="1"/>
  <c r="H149" i="5"/>
  <c r="E149" i="5"/>
  <c r="H148" i="5"/>
  <c r="H147" i="5"/>
  <c r="H146" i="5"/>
  <c r="E145" i="5"/>
  <c r="H145" i="5" s="1"/>
  <c r="H144" i="5"/>
  <c r="H143" i="5"/>
  <c r="E143" i="5"/>
  <c r="H142" i="5"/>
  <c r="H141" i="5"/>
  <c r="H140" i="5"/>
  <c r="H138" i="5"/>
  <c r="H137" i="5"/>
  <c r="E136" i="5"/>
  <c r="H136" i="5" s="1"/>
  <c r="E135" i="5"/>
  <c r="H135" i="5" s="1"/>
  <c r="H134" i="5"/>
  <c r="H133" i="5"/>
  <c r="H132" i="5"/>
  <c r="H131" i="5"/>
  <c r="H130" i="5"/>
  <c r="H129" i="5"/>
  <c r="H128" i="5"/>
  <c r="H127" i="5"/>
  <c r="H126" i="5"/>
  <c r="H125" i="5"/>
  <c r="H124" i="5"/>
  <c r="E123" i="5"/>
  <c r="H123" i="5" s="1"/>
  <c r="H122" i="5"/>
  <c r="H121" i="5"/>
  <c r="H120" i="5"/>
  <c r="H119" i="5"/>
  <c r="H118" i="5"/>
  <c r="H117" i="5"/>
  <c r="H116" i="5"/>
  <c r="H115" i="5"/>
  <c r="H114" i="5"/>
  <c r="H113" i="5"/>
  <c r="E112" i="5"/>
  <c r="H112" i="5" s="1"/>
  <c r="H111" i="5"/>
  <c r="E111" i="5"/>
  <c r="H110" i="5"/>
  <c r="H109" i="5"/>
  <c r="H108" i="5"/>
  <c r="H107" i="5"/>
  <c r="H106" i="5"/>
  <c r="H105" i="5"/>
  <c r="H104" i="5"/>
  <c r="H103" i="5"/>
  <c r="H102" i="5"/>
  <c r="H101" i="5"/>
  <c r="H100" i="5"/>
  <c r="E99" i="5"/>
  <c r="H99" i="5" s="1"/>
  <c r="H98" i="5"/>
  <c r="H97" i="5"/>
  <c r="H96" i="5"/>
  <c r="H95" i="5"/>
  <c r="H94" i="5"/>
  <c r="H93" i="5"/>
  <c r="H92" i="5"/>
  <c r="E91" i="5"/>
  <c r="H91" i="5" s="1"/>
  <c r="H90" i="5"/>
  <c r="H89" i="5"/>
  <c r="H88" i="5"/>
  <c r="E87" i="5"/>
  <c r="H87" i="5" s="1"/>
  <c r="E86" i="5"/>
  <c r="H86" i="5" s="1"/>
  <c r="H85" i="5"/>
  <c r="H84" i="5"/>
  <c r="E83" i="5"/>
  <c r="H83" i="5" s="1"/>
  <c r="E82" i="5"/>
  <c r="H82" i="5" s="1"/>
  <c r="H81" i="5"/>
  <c r="H80" i="5"/>
  <c r="H79" i="5"/>
  <c r="H78" i="5"/>
  <c r="E77" i="5"/>
  <c r="H77" i="5" s="1"/>
  <c r="E76" i="5"/>
  <c r="H76" i="5" s="1"/>
  <c r="H75" i="5"/>
  <c r="E74" i="5"/>
  <c r="H74" i="5" s="1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E60" i="5"/>
  <c r="H60" i="5" s="1"/>
  <c r="H59" i="5"/>
  <c r="E59" i="5"/>
  <c r="E58" i="5"/>
  <c r="H58" i="5" s="1"/>
  <c r="E57" i="5"/>
  <c r="H57" i="5" s="1"/>
  <c r="E56" i="5"/>
  <c r="H56" i="5" s="1"/>
  <c r="H55" i="5"/>
  <c r="E55" i="5"/>
  <c r="E54" i="5"/>
  <c r="H54" i="5" s="1"/>
  <c r="E53" i="5"/>
  <c r="H53" i="5" s="1"/>
  <c r="E52" i="5"/>
  <c r="H52" i="5" s="1"/>
  <c r="H51" i="5"/>
  <c r="E51" i="5"/>
  <c r="E50" i="5"/>
  <c r="H50" i="5" s="1"/>
  <c r="H49" i="5"/>
  <c r="H48" i="5"/>
  <c r="E47" i="5"/>
  <c r="H47" i="5" s="1"/>
  <c r="H46" i="5"/>
  <c r="E46" i="5"/>
  <c r="H45" i="5"/>
  <c r="H44" i="5"/>
  <c r="H43" i="5"/>
  <c r="H42" i="5"/>
  <c r="E42" i="5"/>
  <c r="E41" i="5"/>
  <c r="H41" i="5" s="1"/>
  <c r="E40" i="5"/>
  <c r="H40" i="5" s="1"/>
  <c r="E39" i="5"/>
  <c r="H39" i="5" s="1"/>
  <c r="H38" i="5"/>
  <c r="E38" i="5"/>
  <c r="E37" i="5"/>
  <c r="H37" i="5" s="1"/>
  <c r="H36" i="5"/>
  <c r="E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E18" i="5"/>
  <c r="H18" i="5" s="1"/>
  <c r="H17" i="5"/>
  <c r="H16" i="5"/>
  <c r="C91" i="6" l="1"/>
  <c r="G79" i="6"/>
  <c r="C92" i="6" s="1"/>
  <c r="I78" i="6"/>
  <c r="D91" i="6" s="1"/>
  <c r="G78" i="6"/>
  <c r="G77" i="6"/>
  <c r="I77" i="6" s="1"/>
  <c r="G76" i="6"/>
  <c r="I76" i="6" s="1"/>
  <c r="G75" i="6"/>
  <c r="I75" i="6" s="1"/>
  <c r="G74" i="6"/>
  <c r="I74" i="6" s="1"/>
  <c r="G73" i="6"/>
  <c r="I72" i="6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G64" i="6"/>
  <c r="I64" i="6" s="1"/>
  <c r="G63" i="6"/>
  <c r="I63" i="6" s="1"/>
  <c r="G62" i="6"/>
  <c r="I62" i="6" s="1"/>
  <c r="G61" i="6"/>
  <c r="I61" i="6" s="1"/>
  <c r="G60" i="6"/>
  <c r="I60" i="6" s="1"/>
  <c r="G59" i="6"/>
  <c r="I59" i="6" s="1"/>
  <c r="G58" i="6"/>
  <c r="I58" i="6" s="1"/>
  <c r="G57" i="6"/>
  <c r="I57" i="6" s="1"/>
  <c r="G56" i="6"/>
  <c r="I56" i="6" s="1"/>
  <c r="G55" i="6"/>
  <c r="I55" i="6" s="1"/>
  <c r="G54" i="6"/>
  <c r="I54" i="6" s="1"/>
  <c r="G53" i="6"/>
  <c r="I53" i="6" s="1"/>
  <c r="G52" i="6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G36" i="6"/>
  <c r="I36" i="6" s="1"/>
  <c r="G35" i="6"/>
  <c r="I35" i="6" s="1"/>
  <c r="I34" i="6"/>
  <c r="G34" i="6"/>
  <c r="G33" i="6"/>
  <c r="I33" i="6" s="1"/>
  <c r="I32" i="6"/>
  <c r="G32" i="6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C90" i="6" l="1"/>
  <c r="C88" i="6"/>
  <c r="I52" i="6"/>
  <c r="C87" i="6"/>
  <c r="D86" i="6"/>
  <c r="D88" i="6"/>
  <c r="C85" i="6"/>
  <c r="I37" i="6"/>
  <c r="D87" i="6" s="1"/>
  <c r="I73" i="6"/>
  <c r="D90" i="6" s="1"/>
  <c r="C86" i="6"/>
  <c r="I79" i="6"/>
  <c r="D92" i="6" s="1"/>
  <c r="I11" i="6"/>
  <c r="C89" i="6" l="1"/>
  <c r="D89" i="6"/>
  <c r="I80" i="6"/>
  <c r="D85" i="6"/>
  <c r="D93" i="6" l="1"/>
</calcChain>
</file>

<file path=xl/sharedStrings.xml><?xml version="1.0" encoding="utf-8"?>
<sst xmlns="http://schemas.openxmlformats.org/spreadsheetml/2006/main" count="1408" uniqueCount="936">
  <si>
    <t>INSTITUTO NACIONAL DE BIENESTAR ESTUDIANTIL</t>
  </si>
  <si>
    <t>DEPARTAMENTO DE SERVICIOS GENERALES</t>
  </si>
  <si>
    <t xml:space="preserve">                                                          SUMINISTRO</t>
  </si>
  <si>
    <t>Código del Documento FO-INABIE-04</t>
  </si>
  <si>
    <r>
      <t xml:space="preserve">Fecha de Emisión:  </t>
    </r>
    <r>
      <rPr>
        <b/>
        <sz val="7"/>
        <color theme="1"/>
        <rFont val="Calibri"/>
        <family val="2"/>
        <scheme val="minor"/>
      </rPr>
      <t>Agosto 2013</t>
    </r>
  </si>
  <si>
    <t>DEPENDENCIA:</t>
  </si>
  <si>
    <t>No. y Fecha de Revisión: 0</t>
  </si>
  <si>
    <t>ESPECIFICAR EL USO:</t>
  </si>
  <si>
    <t>FECHA:</t>
  </si>
  <si>
    <t>NO.</t>
  </si>
  <si>
    <t>DESCRIPCION</t>
  </si>
  <si>
    <t>ESPECIFICACION</t>
  </si>
  <si>
    <t xml:space="preserve"> </t>
  </si>
  <si>
    <t xml:space="preserve">NOTA: </t>
  </si>
  <si>
    <t>Entregado por:    Fecha: _______________</t>
  </si>
  <si>
    <t>Encargado de Almacén</t>
  </si>
  <si>
    <t>Cuenta Contable:</t>
  </si>
  <si>
    <t>Código Departamento:</t>
  </si>
  <si>
    <t>Revisado por: SDTPD/DDOC</t>
  </si>
  <si>
    <t>DESCRIPCIÓN</t>
  </si>
  <si>
    <t>ESPECIFICACIÓN</t>
  </si>
  <si>
    <t xml:space="preserve">      ALMACENES</t>
  </si>
  <si>
    <t>Solicitado por:        Fecha:____/____/2018</t>
  </si>
  <si>
    <t xml:space="preserve">                                                          Revisado y Aprobado por:  Fecha:____/____/2018</t>
  </si>
  <si>
    <t>CANTIDAD</t>
  </si>
  <si>
    <t>COSTO X UNIDAD</t>
  </si>
  <si>
    <t>TOTAL</t>
  </si>
  <si>
    <t>CANTIDADES</t>
  </si>
  <si>
    <t>INTITUTO NACIONAL DE BIENESTAR ESTUDIANTIL</t>
  </si>
  <si>
    <t>INVENTARIO POR ALMACEN</t>
  </si>
  <si>
    <t>PRODUCTO</t>
  </si>
  <si>
    <t>SIZE</t>
  </si>
  <si>
    <t>KM 22-II</t>
  </si>
  <si>
    <t xml:space="preserve">KM 22-I </t>
  </si>
  <si>
    <t>HAINA</t>
  </si>
  <si>
    <t>SANTIAGO</t>
  </si>
  <si>
    <t>TOTAL GENERAL</t>
  </si>
  <si>
    <t>COSTO X UNID.</t>
  </si>
  <si>
    <t>VALOR EN $RD</t>
  </si>
  <si>
    <t>PANTALON</t>
  </si>
  <si>
    <t xml:space="preserve"> 312.63</t>
  </si>
  <si>
    <t>CAMISA</t>
  </si>
  <si>
    <t>ZAPATO F</t>
  </si>
  <si>
    <t>ZAPATO M</t>
  </si>
  <si>
    <t xml:space="preserve">MEDIAS </t>
  </si>
  <si>
    <t xml:space="preserve">MOCHILA </t>
  </si>
  <si>
    <t>INICIAL</t>
  </si>
  <si>
    <t>BASICA</t>
  </si>
  <si>
    <t>RESUMEN DE EXISTENCIAS</t>
  </si>
  <si>
    <t>PRODUCTOS</t>
  </si>
  <si>
    <t>INVENTARIO ACTUAL EN UNIDADES</t>
  </si>
  <si>
    <t>VALOR TOTAL EN $RD</t>
  </si>
  <si>
    <t>PANTALONES</t>
  </si>
  <si>
    <t>CAMISAS</t>
  </si>
  <si>
    <t>ZAPATOS FEMENINOS</t>
  </si>
  <si>
    <t>ZAPATOS MASCULINOS</t>
  </si>
  <si>
    <t>TOTAL DE ZAPATOS</t>
  </si>
  <si>
    <t>MEDIAS</t>
  </si>
  <si>
    <t>MOCHILAS INICIAL</t>
  </si>
  <si>
    <t>MOCHILAS BASICA</t>
  </si>
  <si>
    <t>“Año del Fomento a las Exportaciones”</t>
  </si>
  <si>
    <t xml:space="preserve">          “Año del Fomento a las Exportaciones”</t>
  </si>
  <si>
    <t xml:space="preserve">         “Año del Fomento a las Exportaciones”</t>
  </si>
  <si>
    <t>1</t>
  </si>
  <si>
    <t xml:space="preserve">Agenda </t>
  </si>
  <si>
    <t>De escritorio</t>
  </si>
  <si>
    <t>2</t>
  </si>
  <si>
    <t>Acordeon plastico</t>
  </si>
  <si>
    <t>12 divisiones</t>
  </si>
  <si>
    <t>3</t>
  </si>
  <si>
    <t>De mano</t>
  </si>
  <si>
    <t>4</t>
  </si>
  <si>
    <t xml:space="preserve">Bandas </t>
  </si>
  <si>
    <t>De gomas No.18</t>
  </si>
  <si>
    <t>5</t>
  </si>
  <si>
    <t>Bandeja de escritorio</t>
  </si>
  <si>
    <t>De tres divisiones en metal</t>
  </si>
  <si>
    <t>6</t>
  </si>
  <si>
    <t>Banderas Rep. Dominicana</t>
  </si>
  <si>
    <t>4 x 6 pies</t>
  </si>
  <si>
    <t>7</t>
  </si>
  <si>
    <t>Banderas Inabie</t>
  </si>
  <si>
    <t>8</t>
  </si>
  <si>
    <t>Barra</t>
  </si>
  <si>
    <t>De silicona gruesa</t>
  </si>
  <si>
    <t>9</t>
  </si>
  <si>
    <t xml:space="preserve">Base </t>
  </si>
  <si>
    <t>Estándar para CPU</t>
  </si>
  <si>
    <t>10</t>
  </si>
  <si>
    <t xml:space="preserve">Baterías  </t>
  </si>
  <si>
    <t>Coopertod</t>
  </si>
  <si>
    <t>11</t>
  </si>
  <si>
    <t xml:space="preserve">Baterías (pilas) </t>
  </si>
  <si>
    <t>Doble AA.</t>
  </si>
  <si>
    <t>12</t>
  </si>
  <si>
    <t xml:space="preserve">Triple AAA. </t>
  </si>
  <si>
    <t>13</t>
  </si>
  <si>
    <t xml:space="preserve">Borrador </t>
  </si>
  <si>
    <t>De pizarra magica</t>
  </si>
  <si>
    <t>14</t>
  </si>
  <si>
    <t xml:space="preserve">Borras </t>
  </si>
  <si>
    <t>Plásticas</t>
  </si>
  <si>
    <t>15</t>
  </si>
  <si>
    <t xml:space="preserve">Cable </t>
  </si>
  <si>
    <t xml:space="preserve">De jumper bateria </t>
  </si>
  <si>
    <t>16</t>
  </si>
  <si>
    <t>De teléfono RJ-11   15 FT</t>
  </si>
  <si>
    <t>17</t>
  </si>
  <si>
    <t>De teléfono RJ-11   25 FT</t>
  </si>
  <si>
    <t>18</t>
  </si>
  <si>
    <t>De teléfono RJ-11   50 FT</t>
  </si>
  <si>
    <t>19</t>
  </si>
  <si>
    <t>Cable USB</t>
  </si>
  <si>
    <t>De 20 ft color negro</t>
  </si>
  <si>
    <t>20</t>
  </si>
  <si>
    <t xml:space="preserve">Cable USB </t>
  </si>
  <si>
    <t>De 5 ft color negro</t>
  </si>
  <si>
    <t>21</t>
  </si>
  <si>
    <t>De 10 ft color negro</t>
  </si>
  <si>
    <t>22</t>
  </si>
  <si>
    <t xml:space="preserve">Calculadora </t>
  </si>
  <si>
    <t>23</t>
  </si>
  <si>
    <t>Carpetas</t>
  </si>
  <si>
    <t>De 3 anillos, 1" en vinil color negro y/o blanco</t>
  </si>
  <si>
    <t>24</t>
  </si>
  <si>
    <t>De 3 anillos, 2" en vinil color negro y/o blanco</t>
  </si>
  <si>
    <t>25</t>
  </si>
  <si>
    <t>De 3 anillos, 3" en vinil color negro y/o blanco</t>
  </si>
  <si>
    <t>26</t>
  </si>
  <si>
    <t>De 3 anillos, 4" en vinil color negro y/o blanco</t>
  </si>
  <si>
    <t>27</t>
  </si>
  <si>
    <t>De 3 anillos, 5" en vinil color  negro y/o blanco</t>
  </si>
  <si>
    <t>28</t>
  </si>
  <si>
    <t>Cartucho de Tóner</t>
  </si>
  <si>
    <t>CC530 color negro</t>
  </si>
  <si>
    <t>29</t>
  </si>
  <si>
    <t>CC531 color azul</t>
  </si>
  <si>
    <t>30</t>
  </si>
  <si>
    <t>CC532 color amarillo</t>
  </si>
  <si>
    <t>31</t>
  </si>
  <si>
    <t>CC533 color magenta</t>
  </si>
  <si>
    <t>32</t>
  </si>
  <si>
    <t>CE278A color negro</t>
  </si>
  <si>
    <t>33</t>
  </si>
  <si>
    <t>CE285A color negro</t>
  </si>
  <si>
    <t>34</t>
  </si>
  <si>
    <t>Tóner Q7553A</t>
  </si>
  <si>
    <t>35</t>
  </si>
  <si>
    <t>Toshiba Studio T-8570U</t>
  </si>
  <si>
    <t>36</t>
  </si>
  <si>
    <t>CF 280A color negro</t>
  </si>
  <si>
    <t>37</t>
  </si>
  <si>
    <t>CF 281A color negro</t>
  </si>
  <si>
    <t>38</t>
  </si>
  <si>
    <t>CE 255-A NEGRO</t>
  </si>
  <si>
    <t>39</t>
  </si>
  <si>
    <t>CF 400-A NEGRO</t>
  </si>
  <si>
    <t>40</t>
  </si>
  <si>
    <t>CF 401-A AZUL</t>
  </si>
  <si>
    <t>41</t>
  </si>
  <si>
    <t>CF 402-A AMARILLO</t>
  </si>
  <si>
    <t>42</t>
  </si>
  <si>
    <t>CF 403-MAGENTA</t>
  </si>
  <si>
    <t>43</t>
  </si>
  <si>
    <t>CE410A Negro</t>
  </si>
  <si>
    <t>44</t>
  </si>
  <si>
    <t>CE411A  Azul</t>
  </si>
  <si>
    <t>45</t>
  </si>
  <si>
    <t>CE412A  Amarillo</t>
  </si>
  <si>
    <t>46</t>
  </si>
  <si>
    <t>CE413A  Magenta</t>
  </si>
  <si>
    <t>47</t>
  </si>
  <si>
    <t>Toner 253A</t>
  </si>
  <si>
    <t>48</t>
  </si>
  <si>
    <t xml:space="preserve">Cartucho </t>
  </si>
  <si>
    <t>Tricolor Pequeño</t>
  </si>
  <si>
    <t>49</t>
  </si>
  <si>
    <t>Toshiba T-6000</t>
  </si>
  <si>
    <t>50</t>
  </si>
  <si>
    <t xml:space="preserve">Cartulina </t>
  </si>
  <si>
    <t>Color Rojo</t>
  </si>
  <si>
    <t>51</t>
  </si>
  <si>
    <t>Color Blanca</t>
  </si>
  <si>
    <t>52</t>
  </si>
  <si>
    <t>Color Naranja</t>
  </si>
  <si>
    <t>53</t>
  </si>
  <si>
    <t>Color Rosado</t>
  </si>
  <si>
    <t>54</t>
  </si>
  <si>
    <t>Color Verde</t>
  </si>
  <si>
    <t>55</t>
  </si>
  <si>
    <t>Color Amarillo</t>
  </si>
  <si>
    <t>56</t>
  </si>
  <si>
    <t>Color Azul</t>
  </si>
  <si>
    <t>57</t>
  </si>
  <si>
    <t>Cartulina de hilo</t>
  </si>
  <si>
    <t>8 1/2 * 11 125 Lbs. 125 hojas, color crema</t>
  </si>
  <si>
    <t>58</t>
  </si>
  <si>
    <t>8 1/2 * 11 125 Lbs. 125 hojas, color blanco</t>
  </si>
  <si>
    <t>59</t>
  </si>
  <si>
    <t xml:space="preserve">CD    </t>
  </si>
  <si>
    <t>Disco Compacto</t>
  </si>
  <si>
    <t>60</t>
  </si>
  <si>
    <t xml:space="preserve">Cera </t>
  </si>
  <si>
    <t>De mano para contar estándar</t>
  </si>
  <si>
    <t>61</t>
  </si>
  <si>
    <t>Cinta</t>
  </si>
  <si>
    <t>FX890 EPSON</t>
  </si>
  <si>
    <t>62</t>
  </si>
  <si>
    <t>Adhesiva invisible</t>
  </si>
  <si>
    <t>63</t>
  </si>
  <si>
    <t xml:space="preserve">Adhesiva transparente ancha 36/1    #2 </t>
  </si>
  <si>
    <t>64</t>
  </si>
  <si>
    <t>Transparente</t>
  </si>
  <si>
    <t>65</t>
  </si>
  <si>
    <t>Adhesiva 12mm</t>
  </si>
  <si>
    <t>66</t>
  </si>
  <si>
    <t>Bicolor para sumadora electrica</t>
  </si>
  <si>
    <t>67</t>
  </si>
  <si>
    <t>Cinta Corrector</t>
  </si>
  <si>
    <t>maquina de escribir</t>
  </si>
  <si>
    <t>68</t>
  </si>
  <si>
    <t>Adhesiva  1/2 x 50 Pegafan</t>
  </si>
  <si>
    <t>69</t>
  </si>
  <si>
    <t xml:space="preserve">Cinta </t>
  </si>
  <si>
    <t>Adhesiva, transparente 3/4".</t>
  </si>
  <si>
    <t>70</t>
  </si>
  <si>
    <t>Cintillo</t>
  </si>
  <si>
    <t>De identificación personalizado</t>
  </si>
  <si>
    <t>71</t>
  </si>
  <si>
    <t xml:space="preserve">Cintillo </t>
  </si>
  <si>
    <t>Para cable o cintas de amarre (reytech)</t>
  </si>
  <si>
    <t>72</t>
  </si>
  <si>
    <t>Clips</t>
  </si>
  <si>
    <t>De papel de 50 mm de 100 pcs</t>
  </si>
  <si>
    <t>73</t>
  </si>
  <si>
    <t xml:space="preserve">Clips </t>
  </si>
  <si>
    <t>De papel de 33 mm de 100 pcs</t>
  </si>
  <si>
    <t>74</t>
  </si>
  <si>
    <t xml:space="preserve">De papel de presión 3/4" color negro </t>
  </si>
  <si>
    <t>75</t>
  </si>
  <si>
    <t>De papel de presión 1" color negro</t>
  </si>
  <si>
    <t>76</t>
  </si>
  <si>
    <t>De papel de presión 2" color negro</t>
  </si>
  <si>
    <t>77</t>
  </si>
  <si>
    <t>Clips &amp; Pins</t>
  </si>
  <si>
    <t>Chinche</t>
  </si>
  <si>
    <t>78</t>
  </si>
  <si>
    <t>Collant</t>
  </si>
  <si>
    <t>Agua para Radiador</t>
  </si>
  <si>
    <t>79</t>
  </si>
  <si>
    <t>Crayones Pequenos</t>
  </si>
  <si>
    <t>De colores 1/8</t>
  </si>
  <si>
    <t>80</t>
  </si>
  <si>
    <t>Crayones</t>
  </si>
  <si>
    <t>Permanente punta fina color negro</t>
  </si>
  <si>
    <t>81</t>
  </si>
  <si>
    <t>Permanente punta fina color rojo</t>
  </si>
  <si>
    <t>82</t>
  </si>
  <si>
    <t xml:space="preserve">Crayones </t>
  </si>
  <si>
    <t>Permanente punta fina color azul</t>
  </si>
  <si>
    <t>83</t>
  </si>
  <si>
    <t>Destructora de papel</t>
  </si>
  <si>
    <t>marca geka</t>
  </si>
  <si>
    <t>84</t>
  </si>
  <si>
    <t xml:space="preserve">Dispensador </t>
  </si>
  <si>
    <t>Papel Higienico</t>
  </si>
  <si>
    <t>85</t>
  </si>
  <si>
    <t>Para cinta adhesiva a 2"</t>
  </si>
  <si>
    <t>86</t>
  </si>
  <si>
    <t xml:space="preserve">Para cinta adhesiva 3/4" </t>
  </si>
  <si>
    <t>87</t>
  </si>
  <si>
    <t xml:space="preserve">DVD </t>
  </si>
  <si>
    <t>88</t>
  </si>
  <si>
    <t>Espirales</t>
  </si>
  <si>
    <t>Para encuadernación de 8"</t>
  </si>
  <si>
    <t>89</t>
  </si>
  <si>
    <t>Para encuadernación de 10"</t>
  </si>
  <si>
    <t>90</t>
  </si>
  <si>
    <t>Para encuadernación de 11"</t>
  </si>
  <si>
    <t>91</t>
  </si>
  <si>
    <t>Para encuadernación de 14"</t>
  </si>
  <si>
    <t>92</t>
  </si>
  <si>
    <t xml:space="preserve">Extensiones </t>
  </si>
  <si>
    <t>Electricas De 25 ft</t>
  </si>
  <si>
    <t>93</t>
  </si>
  <si>
    <t>Electricas De 50 ft</t>
  </si>
  <si>
    <t>94</t>
  </si>
  <si>
    <t>Electricas De 100 ft</t>
  </si>
  <si>
    <t>95</t>
  </si>
  <si>
    <t xml:space="preserve">Extención </t>
  </si>
  <si>
    <t>tipo regleta</t>
  </si>
  <si>
    <t>96</t>
  </si>
  <si>
    <t>Extinto ABC de 4.5kg</t>
  </si>
  <si>
    <t>color rojo</t>
  </si>
  <si>
    <t>97</t>
  </si>
  <si>
    <t>Felpas</t>
  </si>
  <si>
    <t>Color negro</t>
  </si>
  <si>
    <t>98</t>
  </si>
  <si>
    <t>Color rojo</t>
  </si>
  <si>
    <t>99</t>
  </si>
  <si>
    <t xml:space="preserve">Felpas </t>
  </si>
  <si>
    <t>Color azul</t>
  </si>
  <si>
    <t>100</t>
  </si>
  <si>
    <t>Fieltro</t>
  </si>
  <si>
    <t>Color azul en yarda</t>
  </si>
  <si>
    <t>101</t>
  </si>
  <si>
    <t>Color blanco en yarda</t>
  </si>
  <si>
    <t>102</t>
  </si>
  <si>
    <t>Color marrón en yarda</t>
  </si>
  <si>
    <t>103</t>
  </si>
  <si>
    <t>Color naranja en yarda</t>
  </si>
  <si>
    <t>104</t>
  </si>
  <si>
    <t>Color negro en yarda</t>
  </si>
  <si>
    <t>105</t>
  </si>
  <si>
    <t>Color rojo en yarda</t>
  </si>
  <si>
    <t>106</t>
  </si>
  <si>
    <t>Color verde en yarda</t>
  </si>
  <si>
    <t>107</t>
  </si>
  <si>
    <t>Folders</t>
  </si>
  <si>
    <t>Plastico tipo tijera</t>
  </si>
  <si>
    <t>108</t>
  </si>
  <si>
    <t>De 8 ½ x 11, color amarillo claro  1/100</t>
  </si>
  <si>
    <t>109</t>
  </si>
  <si>
    <t>De 8 ½ x 13, color amarillo claro   1/100</t>
  </si>
  <si>
    <t>110</t>
  </si>
  <si>
    <t>De bolsillo 8 ½ x 11, color amarillo 1/25</t>
  </si>
  <si>
    <t>111</t>
  </si>
  <si>
    <t>De bolsillo 8 ½ x 11 color negro   1/25</t>
  </si>
  <si>
    <t>112</t>
  </si>
  <si>
    <t>De bolsillo 8 ½ x 11, color blanco  1/25</t>
  </si>
  <si>
    <t>113</t>
  </si>
  <si>
    <t>De bolsillo 8 ½ x 11, color azul claro  1/25</t>
  </si>
  <si>
    <t>114</t>
  </si>
  <si>
    <t>De bolcillo 8 1/2 x11 Color Azul Marino   1/25</t>
  </si>
  <si>
    <t>115</t>
  </si>
  <si>
    <t>De bolsillo 8 ½ x 11, color gris    1/25</t>
  </si>
  <si>
    <t>116</t>
  </si>
  <si>
    <t>De bolsillo 8 ½ x 11, color rojo    1/25</t>
  </si>
  <si>
    <t>117</t>
  </si>
  <si>
    <t>De bolsillo 8 ½ x 11, color verde   1/25</t>
  </si>
  <si>
    <t>118</t>
  </si>
  <si>
    <t xml:space="preserve">forderes </t>
  </si>
  <si>
    <t>de bolcillo mixto de 8 1/2 x 11   1/25</t>
  </si>
  <si>
    <t>119</t>
  </si>
  <si>
    <t xml:space="preserve">Forders </t>
  </si>
  <si>
    <t>Amarillo 8 1/2 x 14 legal   1/100</t>
  </si>
  <si>
    <t>120</t>
  </si>
  <si>
    <t>Gafetes (distintivo)</t>
  </si>
  <si>
    <t>Plastificado con cordones</t>
  </si>
  <si>
    <t>121</t>
  </si>
  <si>
    <t xml:space="preserve">Gafetes </t>
  </si>
  <si>
    <t xml:space="preserve"> de identificación 9x5.5 cm</t>
  </si>
  <si>
    <t>122</t>
  </si>
  <si>
    <t xml:space="preserve">Gancho </t>
  </si>
  <si>
    <t>para folder y/o carpeta #22</t>
  </si>
  <si>
    <t>123</t>
  </si>
  <si>
    <t xml:space="preserve">Gato Hidraulico </t>
  </si>
  <si>
    <t>5 Toneladas</t>
  </si>
  <si>
    <t>124</t>
  </si>
  <si>
    <t>Generador Electrico Gasolina</t>
  </si>
  <si>
    <t>Sinemaster 2.0 kilo</t>
  </si>
  <si>
    <t>125</t>
  </si>
  <si>
    <t>Gomas</t>
  </si>
  <si>
    <t>De borrar de leche</t>
  </si>
  <si>
    <t>126</t>
  </si>
  <si>
    <t xml:space="preserve">Gotero </t>
  </si>
  <si>
    <t>Tipo rolon</t>
  </si>
  <si>
    <t>127</t>
  </si>
  <si>
    <t>Tipo Negro</t>
  </si>
  <si>
    <t>128</t>
  </si>
  <si>
    <t>Gotero y/o tinta  1/12</t>
  </si>
  <si>
    <t>Para sello color azul</t>
  </si>
  <si>
    <t>129</t>
  </si>
  <si>
    <t>Para sello color rojo</t>
  </si>
  <si>
    <t>130</t>
  </si>
  <si>
    <t>Para sello color verde</t>
  </si>
  <si>
    <t>131</t>
  </si>
  <si>
    <t>Grapadora</t>
  </si>
  <si>
    <t>Extra fuerte</t>
  </si>
  <si>
    <t>132</t>
  </si>
  <si>
    <t>Grapadoras</t>
  </si>
  <si>
    <t>Estándar de metal</t>
  </si>
  <si>
    <t>133</t>
  </si>
  <si>
    <t>Industrial de metal</t>
  </si>
  <si>
    <t>134</t>
  </si>
  <si>
    <t xml:space="preserve">Grapas </t>
  </si>
  <si>
    <t>10mm</t>
  </si>
  <si>
    <t>135</t>
  </si>
  <si>
    <t>Grapas</t>
  </si>
  <si>
    <t>De 26/6 mm, 5,000 pcs</t>
  </si>
  <si>
    <t>136</t>
  </si>
  <si>
    <t>Industriales 3/8  1000 pc</t>
  </si>
  <si>
    <t>137</t>
  </si>
  <si>
    <t>Guillotina</t>
  </si>
  <si>
    <t>Estándar</t>
  </si>
  <si>
    <t>138</t>
  </si>
  <si>
    <t>de metal a 15"</t>
  </si>
  <si>
    <t>139</t>
  </si>
  <si>
    <t>Headset</t>
  </si>
  <si>
    <t>140</t>
  </si>
  <si>
    <t>Hilo de lana</t>
  </si>
  <si>
    <t>Color azul, rollo grande</t>
  </si>
  <si>
    <t>141</t>
  </si>
  <si>
    <t>Color blanco, rollo grande</t>
  </si>
  <si>
    <t>142</t>
  </si>
  <si>
    <t>Color rojo, rollo grande</t>
  </si>
  <si>
    <t>143</t>
  </si>
  <si>
    <t>Hoja Estandars</t>
  </si>
  <si>
    <t>cover de relieve 1/50</t>
  </si>
  <si>
    <t>144</t>
  </si>
  <si>
    <t xml:space="preserve">Hoja Timbradas </t>
  </si>
  <si>
    <t>Inabie 8.5 x 11</t>
  </si>
  <si>
    <t>145</t>
  </si>
  <si>
    <t>Juego Bandeja</t>
  </si>
  <si>
    <t>plastico</t>
  </si>
  <si>
    <t>146</t>
  </si>
  <si>
    <t>Metal documento</t>
  </si>
  <si>
    <t>147</t>
  </si>
  <si>
    <t>Juego didáctico</t>
  </si>
  <si>
    <t>Ajedred</t>
  </si>
  <si>
    <t>148</t>
  </si>
  <si>
    <t>Aro</t>
  </si>
  <si>
    <t>149</t>
  </si>
  <si>
    <t>Cuerda de saltar</t>
  </si>
  <si>
    <t>150</t>
  </si>
  <si>
    <t>Dominó</t>
  </si>
  <si>
    <t>151</t>
  </si>
  <si>
    <t>Parché Chino</t>
  </si>
  <si>
    <t>152</t>
  </si>
  <si>
    <t>Pelota de aire</t>
  </si>
  <si>
    <t>153</t>
  </si>
  <si>
    <t xml:space="preserve">kitd </t>
  </si>
  <si>
    <t>de pinceles # 9</t>
  </si>
  <si>
    <t>154</t>
  </si>
  <si>
    <t>Labels y/o etiqueta</t>
  </si>
  <si>
    <t>Para CD/DVD</t>
  </si>
  <si>
    <t>155</t>
  </si>
  <si>
    <t xml:space="preserve">Labels y/o etiqueta </t>
  </si>
  <si>
    <t>2x4 Maco de Correspondencia</t>
  </si>
  <si>
    <t>156</t>
  </si>
  <si>
    <t>1x2 Maco de Correspondencia</t>
  </si>
  <si>
    <t>157</t>
  </si>
  <si>
    <t>Lapiceros</t>
  </si>
  <si>
    <t>Tinta negro</t>
  </si>
  <si>
    <t>158</t>
  </si>
  <si>
    <t>Tinta rojo</t>
  </si>
  <si>
    <t>159</t>
  </si>
  <si>
    <t xml:space="preserve">Lapiceros </t>
  </si>
  <si>
    <t>Tinta azul</t>
  </si>
  <si>
    <t>160</t>
  </si>
  <si>
    <t>Lápices</t>
  </si>
  <si>
    <t>De colores penta largo 12/1</t>
  </si>
  <si>
    <t>161</t>
  </si>
  <si>
    <t>Lapiz</t>
  </si>
  <si>
    <t>de colores de cera</t>
  </si>
  <si>
    <t>162</t>
  </si>
  <si>
    <t xml:space="preserve">Lápiz </t>
  </si>
  <si>
    <t>De carbón.</t>
  </si>
  <si>
    <t>163</t>
  </si>
  <si>
    <t>Libretas rayadas</t>
  </si>
  <si>
    <t>Color amarillo 8 1/2 * 11</t>
  </si>
  <si>
    <t>164</t>
  </si>
  <si>
    <t>Color amarillo  6 x 9</t>
  </si>
  <si>
    <t>165</t>
  </si>
  <si>
    <t>Color blanco 8 1/2 * 11.</t>
  </si>
  <si>
    <t>166</t>
  </si>
  <si>
    <t>Color blanco 5 x 8</t>
  </si>
  <si>
    <t>167</t>
  </si>
  <si>
    <t xml:space="preserve">Color blanco 6 x 9 </t>
  </si>
  <si>
    <t>168</t>
  </si>
  <si>
    <t>Libro</t>
  </si>
  <si>
    <t>Record</t>
  </si>
  <si>
    <t>169</t>
  </si>
  <si>
    <t>Liquid paper/corrector líquido</t>
  </si>
  <si>
    <t>Color blanco</t>
  </si>
  <si>
    <t>170</t>
  </si>
  <si>
    <t>LINTERNA DE LED</t>
  </si>
  <si>
    <t>Recargable</t>
  </si>
  <si>
    <t>171</t>
  </si>
  <si>
    <t xml:space="preserve">Lonas plasticas </t>
  </si>
  <si>
    <t xml:space="preserve">Azul 20x 25 </t>
  </si>
  <si>
    <t>172</t>
  </si>
  <si>
    <t>Making Tape</t>
  </si>
  <si>
    <t>de color azul y verde</t>
  </si>
  <si>
    <t>173</t>
  </si>
  <si>
    <t>Marcador</t>
  </si>
  <si>
    <t>Punta gruesa negro</t>
  </si>
  <si>
    <t>174</t>
  </si>
  <si>
    <t>Punta gruesa rojo</t>
  </si>
  <si>
    <t>175</t>
  </si>
  <si>
    <t xml:space="preserve">Marcador </t>
  </si>
  <si>
    <t>Punta Fina Rojo</t>
  </si>
  <si>
    <t>176</t>
  </si>
  <si>
    <t>Macador</t>
  </si>
  <si>
    <t>Punta Fina Negro</t>
  </si>
  <si>
    <t>177</t>
  </si>
  <si>
    <t>Permanente 740</t>
  </si>
  <si>
    <t>178</t>
  </si>
  <si>
    <t>Para pizarra</t>
  </si>
  <si>
    <t>179</t>
  </si>
  <si>
    <t>Mouse</t>
  </si>
  <si>
    <t>Alámbrico</t>
  </si>
  <si>
    <t>180</t>
  </si>
  <si>
    <t>Inalámbrico</t>
  </si>
  <si>
    <t>181</t>
  </si>
  <si>
    <t>mouse pad</t>
  </si>
  <si>
    <t>esponja de mause</t>
  </si>
  <si>
    <t>182</t>
  </si>
  <si>
    <t>Ojitos</t>
  </si>
  <si>
    <t>De peluche de 2 cm</t>
  </si>
  <si>
    <t>183</t>
  </si>
  <si>
    <t xml:space="preserve">Paño para limpiar </t>
  </si>
  <si>
    <t>De microfibra</t>
  </si>
  <si>
    <t>184</t>
  </si>
  <si>
    <t xml:space="preserve">Papel </t>
  </si>
  <si>
    <t>Cra de emboltura</t>
  </si>
  <si>
    <t>185</t>
  </si>
  <si>
    <t xml:space="preserve">Papel de construcción  </t>
  </si>
  <si>
    <t>De colores. De 9 x 12 PQ 96 hojas</t>
  </si>
  <si>
    <t>186</t>
  </si>
  <si>
    <t>De colores. De 9 x 12 PQ 48 hojas</t>
  </si>
  <si>
    <t>187</t>
  </si>
  <si>
    <t>Papel forma Contínua</t>
  </si>
  <si>
    <t xml:space="preserve">  8 1/2x11 a 3 paginas cajas</t>
  </si>
  <si>
    <t>188</t>
  </si>
  <si>
    <t>Papel forma continuo</t>
  </si>
  <si>
    <t xml:space="preserve"> 8 ½ x 11 de 4 copias</t>
  </si>
  <si>
    <t>189</t>
  </si>
  <si>
    <t xml:space="preserve"> 9 ½ x 11 de 4 copias</t>
  </si>
  <si>
    <t>190</t>
  </si>
  <si>
    <t>Papelógrafo</t>
  </si>
  <si>
    <t>hoja 2x4 pies blanco</t>
  </si>
  <si>
    <t>191</t>
  </si>
  <si>
    <t xml:space="preserve">Papelógrafo </t>
  </si>
  <si>
    <t>tripode 2x4 pies  blanco</t>
  </si>
  <si>
    <t>192</t>
  </si>
  <si>
    <t>Pegamento adhesivo</t>
  </si>
  <si>
    <t xml:space="preserve">UHU 40 gm </t>
  </si>
  <si>
    <t>193</t>
  </si>
  <si>
    <t xml:space="preserve">UHU 36 gm </t>
  </si>
  <si>
    <t>194</t>
  </si>
  <si>
    <t xml:space="preserve">UHU 21 gm </t>
  </si>
  <si>
    <t>195</t>
  </si>
  <si>
    <t xml:space="preserve">UHU 8.2 gm </t>
  </si>
  <si>
    <t>196</t>
  </si>
  <si>
    <t>Pendaflex</t>
  </si>
  <si>
    <t>Para folders 8 ½ x 11 PQ de 25/1</t>
  </si>
  <si>
    <t>197</t>
  </si>
  <si>
    <t>Para folders 8 ½ x 14 PQ de 25/1</t>
  </si>
  <si>
    <t>198</t>
  </si>
  <si>
    <t xml:space="preserve">Perforadora </t>
  </si>
  <si>
    <t>De 2 hoyos</t>
  </si>
  <si>
    <t>199</t>
  </si>
  <si>
    <t>De 3 hoyos</t>
  </si>
  <si>
    <t>200</t>
  </si>
  <si>
    <t>Pinceles</t>
  </si>
  <si>
    <t>no. 9 madera</t>
  </si>
  <si>
    <t>201</t>
  </si>
  <si>
    <t xml:space="preserve">Pinceles pequenos </t>
  </si>
  <si>
    <t>de plasticos colores variados 1/8</t>
  </si>
  <si>
    <t>202</t>
  </si>
  <si>
    <t>Pistola de silicona</t>
  </si>
  <si>
    <t>De barra gruesa</t>
  </si>
  <si>
    <t>203</t>
  </si>
  <si>
    <t>Pizarra acrílica</t>
  </si>
  <si>
    <t xml:space="preserve"> 31x48 Color blanco Grande con borrador</t>
  </si>
  <si>
    <t>204</t>
  </si>
  <si>
    <t xml:space="preserve"> 31x48 Color blanco Grande sin borrador</t>
  </si>
  <si>
    <t>205</t>
  </si>
  <si>
    <t>Pizzara Blanca</t>
  </si>
  <si>
    <t xml:space="preserve">Magica 24 x 36 borde metalico </t>
  </si>
  <si>
    <t>206</t>
  </si>
  <si>
    <t xml:space="preserve">Porta Clips </t>
  </si>
  <si>
    <t>Plastico</t>
  </si>
  <si>
    <t>207</t>
  </si>
  <si>
    <t>Porta</t>
  </si>
  <si>
    <t>Clips studmark</t>
  </si>
  <si>
    <t>208</t>
  </si>
  <si>
    <t>Post-it</t>
  </si>
  <si>
    <t>De 100 hojas sin línea, grande</t>
  </si>
  <si>
    <t>209</t>
  </si>
  <si>
    <t>De 100 hojas sin línea, mediano</t>
  </si>
  <si>
    <t>210</t>
  </si>
  <si>
    <t>De 100 hojas sin línea, pequeño</t>
  </si>
  <si>
    <t>211</t>
  </si>
  <si>
    <t xml:space="preserve">Protector </t>
  </si>
  <si>
    <t>Para Pantalla</t>
  </si>
  <si>
    <t>212</t>
  </si>
  <si>
    <t>Radio/microfonos</t>
  </si>
  <si>
    <t>shure</t>
  </si>
  <si>
    <t>213</t>
  </si>
  <si>
    <t xml:space="preserve">Regla </t>
  </si>
  <si>
    <t>Plástica de 30 cm</t>
  </si>
  <si>
    <t>214</t>
  </si>
  <si>
    <t xml:space="preserve">Regleta Electrica </t>
  </si>
  <si>
    <t>De 6 Enchufes</t>
  </si>
  <si>
    <t>215</t>
  </si>
  <si>
    <t>Reloj de Pared</t>
  </si>
  <si>
    <t>Circular Color Blanco</t>
  </si>
  <si>
    <t>216</t>
  </si>
  <si>
    <t>Resaltadores</t>
  </si>
  <si>
    <t>Color amarillo</t>
  </si>
  <si>
    <t>217</t>
  </si>
  <si>
    <t>Color azul claro</t>
  </si>
  <si>
    <t>218</t>
  </si>
  <si>
    <t>Color naranja claro</t>
  </si>
  <si>
    <t>219</t>
  </si>
  <si>
    <t>Color rosado claro</t>
  </si>
  <si>
    <t>220</t>
  </si>
  <si>
    <t>Color verde claro</t>
  </si>
  <si>
    <t>221</t>
  </si>
  <si>
    <t>Resma</t>
  </si>
  <si>
    <t>8 ½ x 11 color Rosado</t>
  </si>
  <si>
    <t>222</t>
  </si>
  <si>
    <t>8 ½ x 11 color Verde</t>
  </si>
  <si>
    <t>223</t>
  </si>
  <si>
    <t xml:space="preserve">Resma </t>
  </si>
  <si>
    <t>de papel bond 8 1/2 x11color blanco</t>
  </si>
  <si>
    <t>224</t>
  </si>
  <si>
    <t>de papel bond 8 ½ x 13 color blanco legal</t>
  </si>
  <si>
    <t>225</t>
  </si>
  <si>
    <t>de papel bond 8 ½ x 14 color blanco legal</t>
  </si>
  <si>
    <t>226</t>
  </si>
  <si>
    <t xml:space="preserve">papel de hilo Blanco 8 ½  x 11 </t>
  </si>
  <si>
    <t>227</t>
  </si>
  <si>
    <t xml:space="preserve">papel de hilo Crema 8 ½  x 11 </t>
  </si>
  <si>
    <t>228</t>
  </si>
  <si>
    <t>8 ½  x 11  color Amarillo</t>
  </si>
  <si>
    <t>229</t>
  </si>
  <si>
    <t>8 ½ x 11 color Azul</t>
  </si>
  <si>
    <t>230</t>
  </si>
  <si>
    <t>Resma de papel de Opalina</t>
  </si>
  <si>
    <t xml:space="preserve">8 ½ x 11 color Blanco </t>
  </si>
  <si>
    <t>231</t>
  </si>
  <si>
    <t>8 ½ x 11 color crema/marfil</t>
  </si>
  <si>
    <t>232</t>
  </si>
  <si>
    <t>Revistero</t>
  </si>
  <si>
    <t>en plastico de escritorio de metal</t>
  </si>
  <si>
    <t>233</t>
  </si>
  <si>
    <t>de metal gris o negro</t>
  </si>
  <si>
    <t>234</t>
  </si>
  <si>
    <t>Rollo de papel bond</t>
  </si>
  <si>
    <t>Para sumadora eléctrica</t>
  </si>
  <si>
    <t>235</t>
  </si>
  <si>
    <t xml:space="preserve">Rollo </t>
  </si>
  <si>
    <t>Percase o flex para forrar cajas en tarima</t>
  </si>
  <si>
    <t>236</t>
  </si>
  <si>
    <t>Saca grapas</t>
  </si>
  <si>
    <t>237</t>
  </si>
  <si>
    <t>Sacapunta</t>
  </si>
  <si>
    <t>Eléctrico</t>
  </si>
  <si>
    <t>238</t>
  </si>
  <si>
    <t>de metal, manual</t>
  </si>
  <si>
    <t>239</t>
  </si>
  <si>
    <t>Separadores de documentos</t>
  </si>
  <si>
    <t>Para carpetas de anillos</t>
  </si>
  <si>
    <t>240</t>
  </si>
  <si>
    <t>Set de escritorio</t>
  </si>
  <si>
    <t>De metal</t>
  </si>
  <si>
    <t>241</t>
  </si>
  <si>
    <t xml:space="preserve">Silicom </t>
  </si>
  <si>
    <t>De 250gr</t>
  </si>
  <si>
    <t>242</t>
  </si>
  <si>
    <t>De 100ml</t>
  </si>
  <si>
    <t>243</t>
  </si>
  <si>
    <t>De 60ml</t>
  </si>
  <si>
    <t>244</t>
  </si>
  <si>
    <t>De 30ml</t>
  </si>
  <si>
    <t>245</t>
  </si>
  <si>
    <t>De 10ml</t>
  </si>
  <si>
    <t>246</t>
  </si>
  <si>
    <t>Sobre de cartas</t>
  </si>
  <si>
    <t>De papel, color blanco sin ventanilla</t>
  </si>
  <si>
    <t>247</t>
  </si>
  <si>
    <t xml:space="preserve">Sobre de cartas </t>
  </si>
  <si>
    <t>De papel blanco con ventanilla</t>
  </si>
  <si>
    <t>248</t>
  </si>
  <si>
    <t>Inabie</t>
  </si>
  <si>
    <t>249</t>
  </si>
  <si>
    <t>Sobre manila</t>
  </si>
  <si>
    <t xml:space="preserve">9 x 12, color amarillo oscuro </t>
  </si>
  <si>
    <t>250</t>
  </si>
  <si>
    <t>Sobre manila, color amarillo oscuro mediano</t>
  </si>
  <si>
    <t>251</t>
  </si>
  <si>
    <t>Sobre manila  10 x 13, color amarillo oscuro</t>
  </si>
  <si>
    <t>252</t>
  </si>
  <si>
    <t>Sobre manila  9 x 13, color amarillo oscuro</t>
  </si>
  <si>
    <t>253</t>
  </si>
  <si>
    <t>Sobre manila, color amarillo pequeño</t>
  </si>
  <si>
    <t>254</t>
  </si>
  <si>
    <t>Sujetador de hojas</t>
  </si>
  <si>
    <t>en Cartón.</t>
  </si>
  <si>
    <t>255</t>
  </si>
  <si>
    <t>Plástico</t>
  </si>
  <si>
    <t>256</t>
  </si>
  <si>
    <t>Sumadora</t>
  </si>
  <si>
    <t>Eléctrica de Escritorio Sharp 12 dijito</t>
  </si>
  <si>
    <t>257</t>
  </si>
  <si>
    <t>Electrica 12 digitos cannon</t>
  </si>
  <si>
    <t>258</t>
  </si>
  <si>
    <t>Eléctrica de Escritorio Mediana</t>
  </si>
  <si>
    <t>259</t>
  </si>
  <si>
    <t>Tapa para encuadernar</t>
  </si>
  <si>
    <t>Encuadernar 50/1</t>
  </si>
  <si>
    <t>260</t>
  </si>
  <si>
    <t>Tarjeta de red</t>
  </si>
  <si>
    <t>Marca Nexxt</t>
  </si>
  <si>
    <t>261</t>
  </si>
  <si>
    <t xml:space="preserve">Tarjetero </t>
  </si>
  <si>
    <t>Organizador de tarjeta Presentacion</t>
  </si>
  <si>
    <t>262</t>
  </si>
  <si>
    <t>Teclado Computadora</t>
  </si>
  <si>
    <t>Marca DELL</t>
  </si>
  <si>
    <t>263</t>
  </si>
  <si>
    <t>Témpera</t>
  </si>
  <si>
    <t>De coleres</t>
  </si>
  <si>
    <t>264</t>
  </si>
  <si>
    <t>Terminal</t>
  </si>
  <si>
    <t>RJ-45</t>
  </si>
  <si>
    <t>265</t>
  </si>
  <si>
    <t>Tijera</t>
  </si>
  <si>
    <t>sin punta</t>
  </si>
  <si>
    <t>266</t>
  </si>
  <si>
    <t>Mediana</t>
  </si>
  <si>
    <t>267</t>
  </si>
  <si>
    <t xml:space="preserve">Tripodes </t>
  </si>
  <si>
    <t>Para rotafolio borde madera</t>
  </si>
  <si>
    <t>268</t>
  </si>
  <si>
    <t>Trituradora</t>
  </si>
  <si>
    <t>de papel geka</t>
  </si>
  <si>
    <t>269</t>
  </si>
  <si>
    <t>Zafacon</t>
  </si>
  <si>
    <t>Metal gris/negro</t>
  </si>
  <si>
    <t>Ace</t>
  </si>
  <si>
    <t>Detergente de 1000 gramos</t>
  </si>
  <si>
    <t>Aceite</t>
  </si>
  <si>
    <t>Wd-40  un</t>
  </si>
  <si>
    <t>-</t>
  </si>
  <si>
    <t xml:space="preserve">Agua </t>
  </si>
  <si>
    <t>Fardo Botellitas</t>
  </si>
  <si>
    <t>Botellón un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</si>
  <si>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</si>
  <si>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Arbol </t>
  </si>
  <si>
    <t>Navideño con sus accesórios  un</t>
  </si>
  <si>
    <t>Alfombra</t>
  </si>
  <si>
    <t>Logo inabie  y/o en blanco   un</t>
  </si>
  <si>
    <t>Ambientadores</t>
  </si>
  <si>
    <t>En spray variado  un</t>
  </si>
  <si>
    <t>En velon glade</t>
  </si>
  <si>
    <t>Atonizador</t>
  </si>
  <si>
    <t>En spray</t>
  </si>
  <si>
    <t>Azucarera</t>
  </si>
  <si>
    <t xml:space="preserve">De cerámica </t>
  </si>
  <si>
    <t xml:space="preserve">Azúcar </t>
  </si>
  <si>
    <t>Crema unidad</t>
  </si>
  <si>
    <t>Bandeja</t>
  </si>
  <si>
    <t xml:space="preserve">En acero rectangular </t>
  </si>
  <si>
    <t>Bandejas</t>
  </si>
  <si>
    <t>De estufa industrial buenas</t>
  </si>
  <si>
    <t>De estufa industrial con oxido</t>
  </si>
  <si>
    <t>En acero redonda</t>
  </si>
  <si>
    <t xml:space="preserve">Bayeta </t>
  </si>
  <si>
    <t>Microfibra ecologica</t>
  </si>
  <si>
    <t>Brillo</t>
  </si>
  <si>
    <t>De fregar  un</t>
  </si>
  <si>
    <t>Café</t>
  </si>
  <si>
    <t>Santo Domingo  pq un</t>
  </si>
  <si>
    <t>Cafetera Electrica</t>
  </si>
  <si>
    <t>De 24 tazas</t>
  </si>
  <si>
    <t xml:space="preserve">Caldero </t>
  </si>
  <si>
    <t>Tipo olla 91 2" x 10" codigo 1202</t>
  </si>
  <si>
    <t>Tipo olla 91 5" x 8" codigo 0212</t>
  </si>
  <si>
    <t>Tipo olla 91 8" x 8" codigo 1240</t>
  </si>
  <si>
    <t>Tipo olla 9 10" x 10" codigo 1264</t>
  </si>
  <si>
    <t>Caldero de aluminio de 15 libras</t>
  </si>
  <si>
    <t>Caldero de aluminio de 25 libras</t>
  </si>
  <si>
    <t>Canasta Plastica</t>
  </si>
  <si>
    <t>Rectangular</t>
  </si>
  <si>
    <t>Cepillo</t>
  </si>
  <si>
    <t>De pared  un</t>
  </si>
  <si>
    <t>Champú</t>
  </si>
  <si>
    <t>Galón  un</t>
  </si>
  <si>
    <t xml:space="preserve">Cilindro </t>
  </si>
  <si>
    <t>De gas mamey de 50 libras</t>
  </si>
  <si>
    <t>De gas blanco de 44 libras</t>
  </si>
  <si>
    <t>Cloro</t>
  </si>
  <si>
    <t xml:space="preserve">Copa </t>
  </si>
  <si>
    <t>De cristal grande  355 ml</t>
  </si>
  <si>
    <t>De agua en cristal</t>
  </si>
  <si>
    <t>De cristal pequeña  un</t>
  </si>
  <si>
    <t>De frutas en cristal  un</t>
  </si>
  <si>
    <t>Cubeta</t>
  </si>
  <si>
    <t>Carrito de trapear un</t>
  </si>
  <si>
    <t>De 5 galones un</t>
  </si>
  <si>
    <t>De 4 galones un</t>
  </si>
  <si>
    <t>De 3 galones un</t>
  </si>
  <si>
    <t xml:space="preserve">Cuchara </t>
  </si>
  <si>
    <t>De mesa acero inoxidable</t>
  </si>
  <si>
    <t>Para postre un</t>
  </si>
  <si>
    <t>De café acero inoxidable</t>
  </si>
  <si>
    <t>Cucharita</t>
  </si>
  <si>
    <t>Desechables</t>
  </si>
  <si>
    <t>Cucharón</t>
  </si>
  <si>
    <t>Estandar  un</t>
  </si>
  <si>
    <t xml:space="preserve">Cucharon </t>
  </si>
  <si>
    <t>Habichuela  un</t>
  </si>
  <si>
    <t>Cuchillo</t>
  </si>
  <si>
    <t>Corte doméstico en acero inox c/mango plastico</t>
  </si>
  <si>
    <t>De mesa  un</t>
  </si>
  <si>
    <t>Corte domestico en acero inox c/mango madera</t>
  </si>
  <si>
    <t>Decorativo</t>
  </si>
  <si>
    <t>En cristal cuadrado con flores  un</t>
  </si>
  <si>
    <t>Tipo tarro ondulado un</t>
  </si>
  <si>
    <t>Navideño ollitas en metal pequeñas  un</t>
  </si>
  <si>
    <t>Descalín</t>
  </si>
  <si>
    <t>Un de galón</t>
  </si>
  <si>
    <t>Papel de baño jumbo un</t>
  </si>
  <si>
    <t>Para rollo genérico de servilletas  un</t>
  </si>
  <si>
    <t xml:space="preserve">                                                </t>
  </si>
  <si>
    <t>Escobas</t>
  </si>
  <si>
    <t xml:space="preserve">                              </t>
  </si>
  <si>
    <t>Palos</t>
  </si>
  <si>
    <t xml:space="preserve">Escobilla </t>
  </si>
  <si>
    <t>De inodoro un</t>
  </si>
  <si>
    <t xml:space="preserve">Escurridor </t>
  </si>
  <si>
    <t>Para platos  plástico  y/o Acero inoxidable un</t>
  </si>
  <si>
    <t>Estufa de 2 hornillas</t>
  </si>
  <si>
    <t>Eléctrica</t>
  </si>
  <si>
    <t>Gas</t>
  </si>
  <si>
    <t>Industrial</t>
  </si>
  <si>
    <t xml:space="preserve">Fardo </t>
  </si>
  <si>
    <t>Lanillas en colores pq</t>
  </si>
  <si>
    <t xml:space="preserve">Fundas </t>
  </si>
  <si>
    <t>Plásticas para basura grande 30 x 56 100/1</t>
  </si>
  <si>
    <t>Plásticas para basura medianas 17 x 22   500/1</t>
  </si>
  <si>
    <t>Plásticas para basura pequeñas    pq   100/1</t>
  </si>
  <si>
    <t>Transparentes para panes y galletas pq</t>
  </si>
  <si>
    <t>Gel</t>
  </si>
  <si>
    <t>Antibacterial Manitas Limpias gls</t>
  </si>
  <si>
    <t xml:space="preserve">Greca </t>
  </si>
  <si>
    <t xml:space="preserve">De café acero inoxidable de 15 taza  </t>
  </si>
  <si>
    <t xml:space="preserve">Guantes </t>
  </si>
  <si>
    <t xml:space="preserve">Desechables pq par. </t>
  </si>
  <si>
    <t>De Construcción</t>
  </si>
  <si>
    <t>Individuales</t>
  </si>
  <si>
    <t>Para mesa en tela  un</t>
  </si>
  <si>
    <t>Insecticidad</t>
  </si>
  <si>
    <t>Baygon 170gr</t>
  </si>
  <si>
    <t>Jabón</t>
  </si>
  <si>
    <t>De cuaba en pasta</t>
  </si>
  <si>
    <t>Axión de fregar un 425 gramos</t>
  </si>
  <si>
    <t>Líquido para manos gls</t>
  </si>
  <si>
    <t>Jarra</t>
  </si>
  <si>
    <t>De Aluminio con Medidas</t>
  </si>
  <si>
    <t>Plástica de jugo  1.5 litros</t>
  </si>
  <si>
    <t>En cristal de Jugo  un</t>
  </si>
  <si>
    <t xml:space="preserve">Lanilla </t>
  </si>
  <si>
    <t>Paquete de a yarda  pq</t>
  </si>
  <si>
    <t xml:space="preserve">Paquete individual  </t>
  </si>
  <si>
    <t>Limpiador</t>
  </si>
  <si>
    <t>De cristal  gls</t>
  </si>
  <si>
    <t>De piso y de cerámicas LPC</t>
  </si>
  <si>
    <t>Lanilla</t>
  </si>
  <si>
    <t>Blanca</t>
  </si>
  <si>
    <t>Roja</t>
  </si>
  <si>
    <t>Manguera</t>
  </si>
  <si>
    <t>Rollos de cobre de 50 pies</t>
  </si>
  <si>
    <t>Rollos de cobre de 21 pies</t>
  </si>
  <si>
    <t>Rollos de gomas de estufa de 200 pies</t>
  </si>
  <si>
    <t>Rollos de gomas de estufa de 76 pies</t>
  </si>
  <si>
    <t>Rollos de gomas de estufa de 72 pies</t>
  </si>
  <si>
    <t>Manteles</t>
  </si>
  <si>
    <t>Para bandeja redondo y cuadrado</t>
  </si>
  <si>
    <t xml:space="preserve">Macarillas </t>
  </si>
  <si>
    <t>De limpieza</t>
  </si>
  <si>
    <t>Místolin</t>
  </si>
  <si>
    <t>Palita</t>
  </si>
  <si>
    <t>Recogedor de basura un</t>
  </si>
  <si>
    <t>Piedra</t>
  </si>
  <si>
    <t>Desodorante</t>
  </si>
  <si>
    <t>Pinzas</t>
  </si>
  <si>
    <t>Para servir acero inoxidable</t>
  </si>
  <si>
    <t>Platillos de Café</t>
  </si>
  <si>
    <t>Pequeños</t>
  </si>
  <si>
    <t xml:space="preserve">Platillos de te </t>
  </si>
  <si>
    <t>Platillos de te</t>
  </si>
  <si>
    <t>Medianos</t>
  </si>
  <si>
    <t>Platos</t>
  </si>
  <si>
    <t>DE ALUMINIO (FRONTERIZO)</t>
  </si>
  <si>
    <t xml:space="preserve">Platos </t>
  </si>
  <si>
    <t>Desechables no.9  12/500</t>
  </si>
  <si>
    <t>Plato</t>
  </si>
  <si>
    <t>Para picadera</t>
  </si>
  <si>
    <t>Llanos</t>
  </si>
  <si>
    <t xml:space="preserve">Plato </t>
  </si>
  <si>
    <t>Hondo</t>
  </si>
  <si>
    <t>Platones</t>
  </si>
  <si>
    <t>De ensaladas  un</t>
  </si>
  <si>
    <t>Quemadores Grandes</t>
  </si>
  <si>
    <t>Estufa Industrial</t>
  </si>
  <si>
    <t>Quemadores Pequeños</t>
  </si>
  <si>
    <t xml:space="preserve">Regulador de gas </t>
  </si>
  <si>
    <t>Con medidor</t>
  </si>
  <si>
    <t>Rollo</t>
  </si>
  <si>
    <t>Papel higiénico  unidad</t>
  </si>
  <si>
    <t>Papel servilleta de baño  unidad</t>
  </si>
  <si>
    <t>Papel toalla tipo servilleta  un</t>
  </si>
  <si>
    <t>Servilletas</t>
  </si>
  <si>
    <t>De mesa  pq</t>
  </si>
  <si>
    <t>Suaper</t>
  </si>
  <si>
    <t>Para limpieza #24 o 32</t>
  </si>
  <si>
    <t>Tapete de lino</t>
  </si>
  <si>
    <t xml:space="preserve">Tapa </t>
  </si>
  <si>
    <t>Zafacón negro</t>
  </si>
  <si>
    <t xml:space="preserve">Tarro </t>
  </si>
  <si>
    <t>Plastico de 1 litro</t>
  </si>
  <si>
    <t xml:space="preserve">Taza </t>
  </si>
  <si>
    <t>De café  estándar  un</t>
  </si>
  <si>
    <t>De Té  grande  un</t>
  </si>
  <si>
    <t xml:space="preserve">Tenedores </t>
  </si>
  <si>
    <t>Thermo</t>
  </si>
  <si>
    <t>De café acero inoxidable 3 litros</t>
  </si>
  <si>
    <t>De café acero inoxidable 2 litros</t>
  </si>
  <si>
    <t xml:space="preserve">Toalla </t>
  </si>
  <si>
    <t>De mano gruesa  un</t>
  </si>
  <si>
    <t xml:space="preserve">Vasos </t>
  </si>
  <si>
    <t>Cristal tipo copa  un</t>
  </si>
  <si>
    <t>De aluminio</t>
  </si>
  <si>
    <t>De cristal</t>
  </si>
  <si>
    <t>Plasticos # 7  pq</t>
  </si>
  <si>
    <t>Plasticos # 3  pq</t>
  </si>
  <si>
    <t>Zafacón</t>
  </si>
  <si>
    <t>De metal gris  un</t>
  </si>
  <si>
    <t>Plástico grande con ruedas 100-130 litros</t>
  </si>
  <si>
    <t>En plástico estándar  un</t>
  </si>
  <si>
    <t>AL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</si>
</sst>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#,##0"/>
    <numFmt numFmtId="165" formatCode="#,##0.00;[Red]#,##0.00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Palatino Linotype"/>
      <family val="1"/>
    </font>
    <font>
      <sz val="9"/>
      <name val="Calibri"/>
      <family val="2"/>
      <scheme val="minor"/>
    </font>
    <font>
      <i/>
      <sz val="10"/>
      <color theme="1"/>
      <name val="Palatino Linotype"/>
      <family val="1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.5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9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 style="thin">
        <color theme="8" tint="-0.499984740745262"/>
      </right>
      <top style="medium">
        <color indexed="64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indexed="64"/>
      </top>
      <bottom style="thin">
        <color theme="8" tint="-0.499984740745262"/>
      </bottom>
      <diagonal/>
    </border>
    <border>
      <left style="medium">
        <color indexed="64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indexed="64"/>
      </right>
      <top style="thin">
        <color theme="8" tint="-0.499984740745262"/>
      </top>
      <bottom/>
      <diagonal/>
    </border>
    <border>
      <left style="medium">
        <color indexed="64"/>
      </left>
      <right style="thin">
        <color theme="8" tint="-0.499984740745262"/>
      </right>
      <top style="medium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8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/>
    <xf numFmtId="0" fontId="7" fillId="2" borderId="0" xfId="0" applyFont="1" applyFill="1" applyBorder="1"/>
    <xf numFmtId="0" fontId="9" fillId="2" borderId="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3" xfId="0" applyFont="1" applyFill="1" applyBorder="1" applyAlignment="1"/>
    <xf numFmtId="0" fontId="10" fillId="2" borderId="7" xfId="0" applyFont="1" applyFill="1" applyBorder="1"/>
    <xf numFmtId="0" fontId="10" fillId="2" borderId="8" xfId="0" applyFont="1" applyFill="1" applyBorder="1" applyAlignment="1"/>
    <xf numFmtId="0" fontId="11" fillId="2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7" fillId="2" borderId="0" xfId="0" applyFont="1" applyFill="1" applyAlignment="1">
      <alignment horizontal="center"/>
    </xf>
    <xf numFmtId="0" fontId="1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23" fillId="2" borderId="0" xfId="0" applyFont="1" applyFill="1" applyBorder="1"/>
    <xf numFmtId="0" fontId="20" fillId="2" borderId="0" xfId="0" applyFont="1" applyFill="1" applyBorder="1" applyAlignment="1"/>
    <xf numFmtId="0" fontId="20" fillId="2" borderId="3" xfId="0" applyFont="1" applyFill="1" applyBorder="1" applyAlignment="1"/>
    <xf numFmtId="0" fontId="2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7" fillId="4" borderId="0" xfId="0" applyFont="1" applyFill="1" applyBorder="1" applyAlignment="1">
      <alignment vertical="center"/>
    </xf>
    <xf numFmtId="49" fontId="22" fillId="4" borderId="17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4" borderId="23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/>
    <xf numFmtId="49" fontId="8" fillId="3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49" fontId="8" fillId="3" borderId="25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2" fillId="2" borderId="0" xfId="0" applyNumberFormat="1" applyFont="1" applyFill="1" applyBorder="1" applyAlignment="1">
      <alignment vertical="center"/>
    </xf>
    <xf numFmtId="0" fontId="0" fillId="0" borderId="0" xfId="0" applyAlignment="1"/>
    <xf numFmtId="0" fontId="27" fillId="0" borderId="0" xfId="0" applyFont="1"/>
    <xf numFmtId="0" fontId="28" fillId="5" borderId="27" xfId="0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 wrapText="1"/>
    </xf>
    <xf numFmtId="0" fontId="29" fillId="0" borderId="28" xfId="0" applyFont="1" applyFill="1" applyBorder="1"/>
    <xf numFmtId="0" fontId="29" fillId="0" borderId="29" xfId="0" applyFont="1" applyFill="1" applyBorder="1" applyAlignment="1">
      <alignment horizontal="center"/>
    </xf>
    <xf numFmtId="37" fontId="0" fillId="0" borderId="29" xfId="0" applyNumberForma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49" fontId="30" fillId="0" borderId="29" xfId="0" applyNumberFormat="1" applyFon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29" fillId="0" borderId="31" xfId="0" applyFont="1" applyFill="1" applyBorder="1"/>
    <xf numFmtId="0" fontId="29" fillId="0" borderId="32" xfId="0" applyFont="1" applyFill="1" applyBorder="1" applyAlignment="1">
      <alignment horizontal="center"/>
    </xf>
    <xf numFmtId="37" fontId="0" fillId="0" borderId="32" xfId="0" applyNumberFormat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9" fontId="30" fillId="0" borderId="32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7" fontId="2" fillId="2" borderId="32" xfId="0" applyNumberFormat="1" applyFont="1" applyFill="1" applyBorder="1" applyAlignment="1">
      <alignment horizontal="center"/>
    </xf>
    <xf numFmtId="0" fontId="30" fillId="0" borderId="32" xfId="0" applyFont="1" applyBorder="1" applyAlignment="1">
      <alignment horizontal="center"/>
    </xf>
    <xf numFmtId="37" fontId="0" fillId="0" borderId="32" xfId="0" applyNumberForma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30" fillId="0" borderId="32" xfId="0" applyNumberFormat="1" applyFont="1" applyBorder="1" applyAlignment="1">
      <alignment horizontal="center"/>
    </xf>
    <xf numFmtId="37" fontId="0" fillId="0" borderId="32" xfId="0" applyNumberFormat="1" applyFont="1" applyFill="1" applyBorder="1" applyAlignment="1">
      <alignment horizontal="center"/>
    </xf>
    <xf numFmtId="2" fontId="30" fillId="0" borderId="32" xfId="0" applyNumberFormat="1" applyFont="1" applyFill="1" applyBorder="1" applyAlignment="1">
      <alignment horizontal="center"/>
    </xf>
    <xf numFmtId="37" fontId="0" fillId="2" borderId="32" xfId="0" applyNumberFormat="1" applyFont="1" applyFill="1" applyBorder="1" applyAlignment="1">
      <alignment horizontal="center"/>
    </xf>
    <xf numFmtId="37" fontId="0" fillId="0" borderId="32" xfId="0" applyNumberFormat="1" applyFont="1" applyBorder="1" applyAlignment="1">
      <alignment horizontal="center"/>
    </xf>
    <xf numFmtId="0" fontId="29" fillId="0" borderId="33" xfId="0" applyFont="1" applyFill="1" applyBorder="1"/>
    <xf numFmtId="0" fontId="29" fillId="0" borderId="34" xfId="0" applyFont="1" applyFill="1" applyBorder="1" applyAlignment="1">
      <alignment horizontal="center"/>
    </xf>
    <xf numFmtId="37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30" fillId="0" borderId="34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6" fillId="0" borderId="35" xfId="0" applyNumberFormat="1" applyFont="1" applyBorder="1" applyAlignment="1">
      <alignment horizontal="center"/>
    </xf>
    <xf numFmtId="0" fontId="0" fillId="7" borderId="42" xfId="0" applyFont="1" applyFill="1" applyBorder="1"/>
    <xf numFmtId="43" fontId="0" fillId="7" borderId="42" xfId="1" applyNumberFormat="1" applyFont="1" applyFill="1" applyBorder="1"/>
    <xf numFmtId="0" fontId="0" fillId="7" borderId="43" xfId="0" applyFont="1" applyFill="1" applyBorder="1"/>
    <xf numFmtId="43" fontId="0" fillId="7" borderId="43" xfId="1" applyNumberFormat="1" applyFont="1" applyFill="1" applyBorder="1"/>
    <xf numFmtId="0" fontId="26" fillId="7" borderId="43" xfId="0" applyFont="1" applyFill="1" applyBorder="1"/>
    <xf numFmtId="4" fontId="0" fillId="0" borderId="0" xfId="0" applyNumberFormat="1"/>
    <xf numFmtId="0" fontId="0" fillId="7" borderId="44" xfId="0" applyFont="1" applyFill="1" applyBorder="1"/>
    <xf numFmtId="43" fontId="0" fillId="7" borderId="44" xfId="1" applyNumberFormat="1" applyFont="1" applyFill="1" applyBorder="1"/>
    <xf numFmtId="4" fontId="26" fillId="0" borderId="45" xfId="0" applyNumberFormat="1" applyFont="1" applyBorder="1" applyAlignment="1">
      <alignment horizontal="center"/>
    </xf>
    <xf numFmtId="0" fontId="1" fillId="6" borderId="37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left" vertical="top"/>
    </xf>
    <xf numFmtId="49" fontId="22" fillId="4" borderId="14" xfId="0" applyNumberFormat="1" applyFont="1" applyFill="1" applyBorder="1" applyAlignment="1">
      <alignment horizontal="center" vertical="center"/>
    </xf>
    <xf numFmtId="49" fontId="22" fillId="4" borderId="16" xfId="0" applyNumberFormat="1" applyFont="1" applyFill="1" applyBorder="1" applyAlignment="1">
      <alignment horizontal="center" vertical="center"/>
    </xf>
    <xf numFmtId="49" fontId="22" fillId="4" borderId="15" xfId="0" applyNumberFormat="1" applyFont="1" applyFill="1" applyBorder="1" applyAlignment="1">
      <alignment horizontal="center" vertical="center"/>
    </xf>
    <xf numFmtId="49" fontId="22" fillId="4" borderId="10" xfId="0" applyNumberFormat="1" applyFont="1" applyFill="1" applyBorder="1" applyAlignment="1">
      <alignment horizontal="center" vertical="center"/>
    </xf>
    <xf numFmtId="49" fontId="22" fillId="4" borderId="15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4" borderId="19" xfId="0" applyNumberFormat="1" applyFont="1" applyFill="1" applyBorder="1" applyAlignment="1">
      <alignment horizontal="center" vertical="center"/>
    </xf>
    <xf numFmtId="49" fontId="22" fillId="4" borderId="2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49" fontId="11" fillId="3" borderId="18" xfId="0" applyNumberFormat="1" applyFont="1" applyFill="1" applyBorder="1" applyAlignment="1">
      <alignment horizontal="center" vertical="center"/>
    </xf>
    <xf numFmtId="49" fontId="11" fillId="3" borderId="20" xfId="0" applyNumberFormat="1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23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49" fontId="13" fillId="2" borderId="5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49" fontId="31" fillId="2" borderId="11" xfId="0" applyNumberFormat="1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49" fontId="13" fillId="2" borderId="52" xfId="0" applyNumberFormat="1" applyFont="1" applyFill="1" applyBorder="1" applyAlignment="1">
      <alignment horizontal="center" vertical="center"/>
    </xf>
    <xf numFmtId="49" fontId="31" fillId="2" borderId="53" xfId="0" applyNumberFormat="1" applyFont="1" applyFill="1" applyBorder="1" applyAlignment="1">
      <alignment horizontal="left" vertical="center"/>
    </xf>
    <xf numFmtId="0" fontId="24" fillId="4" borderId="56" xfId="0" applyFont="1" applyFill="1" applyBorder="1" applyAlignment="1">
      <alignment horizontal="center"/>
    </xf>
    <xf numFmtId="49" fontId="13" fillId="2" borderId="32" xfId="0" applyNumberFormat="1" applyFont="1" applyFill="1" applyBorder="1" applyAlignment="1">
      <alignment horizontal="center" vertical="center"/>
    </xf>
    <xf numFmtId="49" fontId="31" fillId="2" borderId="32" xfId="0" applyNumberFormat="1" applyFont="1" applyFill="1" applyBorder="1" applyAlignment="1">
      <alignment horizontal="left" vertical="center"/>
    </xf>
    <xf numFmtId="0" fontId="31" fillId="2" borderId="11" xfId="0" applyFont="1" applyFill="1" applyBorder="1" applyAlignment="1">
      <alignment horizontal="left" vertical="center"/>
    </xf>
    <xf numFmtId="0" fontId="31" fillId="2" borderId="11" xfId="0" applyFont="1" applyFill="1" applyBorder="1" applyAlignment="1">
      <alignment vertical="center"/>
    </xf>
    <xf numFmtId="0" fontId="27" fillId="2" borderId="11" xfId="0" applyFont="1" applyFill="1" applyBorder="1" applyAlignment="1">
      <alignment vertical="center"/>
    </xf>
    <xf numFmtId="0" fontId="27" fillId="2" borderId="11" xfId="0" applyFont="1" applyFill="1" applyBorder="1" applyAlignment="1">
      <alignment horizontal="left" vertical="center"/>
    </xf>
    <xf numFmtId="0" fontId="31" fillId="2" borderId="53" xfId="0" applyFont="1" applyFill="1" applyBorder="1" applyAlignment="1">
      <alignment horizontal="left" vertical="center"/>
    </xf>
    <xf numFmtId="0" fontId="31" fillId="2" borderId="32" xfId="0" applyFont="1" applyFill="1" applyBorder="1" applyAlignment="1">
      <alignment horizontal="left" vertical="center"/>
    </xf>
    <xf numFmtId="37" fontId="0" fillId="2" borderId="48" xfId="0" applyNumberFormat="1" applyFont="1" applyFill="1" applyBorder="1" applyAlignment="1">
      <alignment horizontal="center" vertical="center"/>
    </xf>
    <xf numFmtId="37" fontId="0" fillId="2" borderId="13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64" fontId="0" fillId="2" borderId="13" xfId="0" applyNumberFormat="1" applyFont="1" applyFill="1" applyBorder="1" applyAlignment="1">
      <alignment horizontal="center" vertical="center"/>
    </xf>
    <xf numFmtId="165" fontId="2" fillId="2" borderId="51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4" fontId="2" fillId="2" borderId="32" xfId="0" applyNumberFormat="1" applyFont="1" applyFill="1" applyBorder="1"/>
    <xf numFmtId="164" fontId="0" fillId="2" borderId="54" xfId="0" applyNumberFormat="1" applyFont="1" applyFill="1" applyBorder="1" applyAlignment="1">
      <alignment horizontal="center" vertical="center"/>
    </xf>
    <xf numFmtId="165" fontId="2" fillId="2" borderId="55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/>
    </xf>
    <xf numFmtId="4" fontId="2" fillId="2" borderId="27" xfId="0" applyNumberFormat="1" applyFont="1" applyFill="1" applyBorder="1"/>
    <xf numFmtId="164" fontId="0" fillId="2" borderId="32" xfId="0" applyNumberFormat="1" applyFont="1" applyFill="1" applyBorder="1" applyAlignment="1">
      <alignment horizontal="center" vertical="center"/>
    </xf>
    <xf numFmtId="43" fontId="1" fillId="2" borderId="57" xfId="0" applyNumberFormat="1" applyFont="1" applyFill="1" applyBorder="1" applyAlignment="1">
      <alignment vertical="center"/>
    </xf>
    <xf numFmtId="43" fontId="20" fillId="2" borderId="57" xfId="0" applyNumberFormat="1" applyFont="1" applyFill="1" applyBorder="1" applyAlignment="1"/>
    <xf numFmtId="0" fontId="31" fillId="2" borderId="47" xfId="0" applyFont="1" applyFill="1" applyBorder="1" applyAlignment="1">
      <alignment vertical="center"/>
    </xf>
    <xf numFmtId="0" fontId="33" fillId="2" borderId="46" xfId="0" applyNumberFormat="1" applyFont="1" applyFill="1" applyBorder="1" applyAlignment="1">
      <alignment horizontal="center" vertical="center"/>
    </xf>
    <xf numFmtId="43" fontId="0" fillId="2" borderId="49" xfId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49" xfId="0" applyFont="1" applyFill="1" applyBorder="1"/>
    <xf numFmtId="43" fontId="0" fillId="2" borderId="1" xfId="1" applyFont="1" applyFill="1" applyBorder="1" applyAlignment="1"/>
    <xf numFmtId="43" fontId="0" fillId="2" borderId="1" xfId="1" applyFont="1" applyFill="1" applyBorder="1" applyAlignment="1">
      <alignment horizontal="center"/>
    </xf>
    <xf numFmtId="2" fontId="2" fillId="2" borderId="32" xfId="0" applyNumberFormat="1" applyFont="1" applyFill="1" applyBorder="1"/>
    <xf numFmtId="3" fontId="0" fillId="7" borderId="42" xfId="0" applyNumberFormat="1" applyFill="1" applyBorder="1" applyAlignment="1">
      <alignment horizontal="center"/>
    </xf>
    <xf numFmtId="3" fontId="0" fillId="7" borderId="43" xfId="0" applyNumberFormat="1" applyFill="1" applyBorder="1" applyAlignment="1">
      <alignment horizontal="center"/>
    </xf>
    <xf numFmtId="3" fontId="26" fillId="7" borderId="43" xfId="0" applyNumberFormat="1" applyFont="1" applyFill="1" applyBorder="1" applyAlignment="1">
      <alignment horizontal="center"/>
    </xf>
    <xf numFmtId="3" fontId="0" fillId="7" borderId="44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142875</xdr:rowOff>
    </xdr:from>
    <xdr:ext cx="1619250" cy="752475"/>
    <xdr:pic>
      <xdr:nvPicPr>
        <xdr:cNvPr id="4" name="Picture 3" descr="Descripción: D:\Documents and Settings\maria.fulcar\Desktop\LOGO INABI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142875"/>
          <a:ext cx="161925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1000125</xdr:colOff>
      <xdr:row>0</xdr:row>
      <xdr:rowOff>0</xdr:rowOff>
    </xdr:from>
    <xdr:ext cx="2808514" cy="971550"/>
    <xdr:pic>
      <xdr:nvPicPr>
        <xdr:cNvPr id="5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2808514" cy="971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719135</xdr:colOff>
      <xdr:row>0</xdr:row>
      <xdr:rowOff>83705</xdr:rowOff>
    </xdr:from>
    <xdr:to>
      <xdr:col>3</xdr:col>
      <xdr:colOff>2862258</xdr:colOff>
      <xdr:row>2</xdr:row>
      <xdr:rowOff>205943</xdr:rowOff>
    </xdr:to>
    <xdr:pic>
      <xdr:nvPicPr>
        <xdr:cNvPr id="2" name="Picture 2" descr="logo MINISTERIO 1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7560" y="83705"/>
          <a:ext cx="2143123" cy="579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</xdr:row>
      <xdr:rowOff>60325</xdr:rowOff>
    </xdr:from>
    <xdr:to>
      <xdr:col>2</xdr:col>
      <xdr:colOff>1598587</xdr:colOff>
      <xdr:row>4</xdr:row>
      <xdr:rowOff>192087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" y="517525"/>
          <a:ext cx="1760512" cy="588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841309</xdr:colOff>
      <xdr:row>145</xdr:row>
      <xdr:rowOff>0</xdr:rowOff>
    </xdr:from>
    <xdr:to>
      <xdr:col>4</xdr:col>
      <xdr:colOff>428607</xdr:colOff>
      <xdr:row>145</xdr:row>
      <xdr:rowOff>0</xdr:rowOff>
    </xdr:to>
    <xdr:cxnSp macro="">
      <xdr:nvCxnSpPr>
        <xdr:cNvPr id="4" name="2 Conector recto"/>
        <xdr:cNvCxnSpPr/>
      </xdr:nvCxnSpPr>
      <xdr:spPr>
        <a:xfrm>
          <a:off x="3984559" y="25088850"/>
          <a:ext cx="2968673" cy="0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2052648</xdr:colOff>
      <xdr:row>149</xdr:row>
      <xdr:rowOff>207966</xdr:rowOff>
    </xdr:from>
    <xdr:to>
      <xdr:col>3</xdr:col>
      <xdr:colOff>2933700</xdr:colOff>
      <xdr:row>149</xdr:row>
      <xdr:rowOff>209550</xdr:rowOff>
    </xdr:to>
    <xdr:cxnSp macro="">
      <xdr:nvCxnSpPr>
        <xdr:cNvPr id="5" name="7 Conector recto"/>
        <xdr:cNvCxnSpPr/>
      </xdr:nvCxnSpPr>
      <xdr:spPr>
        <a:xfrm>
          <a:off x="2481273" y="30945141"/>
          <a:ext cx="3090852" cy="1584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539740</xdr:colOff>
      <xdr:row>7</xdr:row>
      <xdr:rowOff>55564</xdr:rowOff>
    </xdr:from>
    <xdr:ext cx="5203836" cy="201611"/>
    <xdr:sp macro="" textlink="">
      <xdr:nvSpPr>
        <xdr:cNvPr id="6" name="1 CuadroTexto"/>
        <xdr:cNvSpPr txBox="1"/>
      </xdr:nvSpPr>
      <xdr:spPr>
        <a:xfrm>
          <a:off x="1015990" y="1693864"/>
          <a:ext cx="5203836" cy="2016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DO" sz="1200" b="1" baseline="0">
              <a:solidFill>
                <a:srgbClr val="002060"/>
              </a:solidFill>
            </a:rPr>
            <a:t>ALMACEN SUMINISTRO INABIE I Y HAINA</a:t>
          </a:r>
          <a:endParaRPr lang="es-DO" sz="1800" b="1" baseline="0">
            <a:solidFill>
              <a:srgbClr val="002060"/>
            </a:solidFill>
          </a:endParaRPr>
        </a:p>
        <a:p>
          <a:endParaRPr lang="es-DO" sz="1400" b="0" baseline="0">
            <a:solidFill>
              <a:srgbClr val="002060"/>
            </a:solidFill>
          </a:endParaRPr>
        </a:p>
        <a:p>
          <a:endParaRPr lang="es-DO" sz="1000" b="0">
            <a:solidFill>
              <a:srgbClr val="002060"/>
            </a:solidFill>
          </a:endParaRPr>
        </a:p>
      </xdr:txBody>
    </xdr:sp>
    <xdr:clientData/>
  </xdr:oneCellAnchor>
  <xdr:oneCellAnchor>
    <xdr:from>
      <xdr:col>2</xdr:col>
      <xdr:colOff>847726</xdr:colOff>
      <xdr:row>8</xdr:row>
      <xdr:rowOff>152400</xdr:rowOff>
    </xdr:from>
    <xdr:ext cx="4862112" cy="257175"/>
    <xdr:sp macro="" textlink="">
      <xdr:nvSpPr>
        <xdr:cNvPr id="7" name="8 CuadroTexto"/>
        <xdr:cNvSpPr txBox="1"/>
      </xdr:nvSpPr>
      <xdr:spPr>
        <a:xfrm>
          <a:off x="1323976" y="1905000"/>
          <a:ext cx="4862112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DO" sz="1200" b="1" baseline="0">
              <a:solidFill>
                <a:srgbClr val="002060"/>
              </a:solidFill>
            </a:rPr>
            <a:t>INVENTARIO DE COCINA INABIE</a:t>
          </a:r>
        </a:p>
        <a:p>
          <a:pPr algn="ctr"/>
          <a:endParaRPr lang="es-DO" sz="1400" b="1" baseline="0">
            <a:solidFill>
              <a:srgbClr val="002060"/>
            </a:solidFill>
          </a:endParaRPr>
        </a:p>
      </xdr:txBody>
    </xdr:sp>
    <xdr:clientData/>
  </xdr:oneCellAnchor>
  <xdr:oneCellAnchor>
    <xdr:from>
      <xdr:col>4</xdr:col>
      <xdr:colOff>404811</xdr:colOff>
      <xdr:row>9</xdr:row>
      <xdr:rowOff>158750</xdr:rowOff>
    </xdr:from>
    <xdr:ext cx="1055689" cy="261937"/>
    <xdr:sp macro="" textlink="">
      <xdr:nvSpPr>
        <xdr:cNvPr id="8" name="9 CuadroTexto"/>
        <xdr:cNvSpPr txBox="1"/>
      </xdr:nvSpPr>
      <xdr:spPr>
        <a:xfrm>
          <a:off x="6929436" y="1778000"/>
          <a:ext cx="1055689" cy="2619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200" b="1" baseline="0">
              <a:solidFill>
                <a:srgbClr val="002060"/>
              </a:solidFill>
            </a:rPr>
            <a:t>28-02-2018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1347785</xdr:colOff>
      <xdr:row>0</xdr:row>
      <xdr:rowOff>104775</xdr:rowOff>
    </xdr:from>
    <xdr:to>
      <xdr:col>3</xdr:col>
      <xdr:colOff>1357308</xdr:colOff>
      <xdr:row>3</xdr:row>
      <xdr:rowOff>112713</xdr:rowOff>
    </xdr:to>
    <xdr:pic>
      <xdr:nvPicPr>
        <xdr:cNvPr id="2" name="Picture 2" descr="logo MINISTERIO 1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4985" y="104775"/>
          <a:ext cx="2143123" cy="579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2859088</xdr:colOff>
      <xdr:row>2</xdr:row>
      <xdr:rowOff>146050</xdr:rowOff>
    </xdr:from>
    <xdr:to>
      <xdr:col>5</xdr:col>
      <xdr:colOff>329540</xdr:colOff>
      <xdr:row>5</xdr:row>
      <xdr:rowOff>153987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49888" y="527050"/>
          <a:ext cx="1760512" cy="588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847725</xdr:colOff>
      <xdr:row>8</xdr:row>
      <xdr:rowOff>152400</xdr:rowOff>
    </xdr:from>
    <xdr:ext cx="4891076" cy="266700"/>
    <xdr:sp macro="" textlink="">
      <xdr:nvSpPr>
        <xdr:cNvPr id="6" name="1 CuadroTexto"/>
        <xdr:cNvSpPr txBox="1"/>
      </xdr:nvSpPr>
      <xdr:spPr>
        <a:xfrm>
          <a:off x="1276350" y="1133475"/>
          <a:ext cx="4891076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050" b="1" baseline="0">
              <a:solidFill>
                <a:srgbClr val="002060"/>
              </a:solidFill>
            </a:rPr>
            <a:t>   </a:t>
          </a:r>
          <a:r>
            <a:rPr lang="es-DO" sz="1200" b="1" baseline="0">
              <a:solidFill>
                <a:srgbClr val="002060"/>
              </a:solidFill>
            </a:rPr>
            <a:t>ALMACEN SUMINISTRO INABIE I Y HAINA </a:t>
          </a:r>
          <a:endParaRPr lang="es-DO" sz="1200" b="1">
            <a:solidFill>
              <a:srgbClr val="002060"/>
            </a:solidFill>
          </a:endParaRPr>
        </a:p>
      </xdr:txBody>
    </xdr:sp>
    <xdr:clientData/>
  </xdr:oneCellAnchor>
  <xdr:oneCellAnchor>
    <xdr:from>
      <xdr:col>2</xdr:col>
      <xdr:colOff>971550</xdr:colOff>
      <xdr:row>10</xdr:row>
      <xdr:rowOff>0</xdr:rowOff>
    </xdr:from>
    <xdr:ext cx="5505450" cy="349250"/>
    <xdr:sp macro="" textlink="">
      <xdr:nvSpPr>
        <xdr:cNvPr id="7" name="8 CuadroTexto"/>
        <xdr:cNvSpPr txBox="1"/>
      </xdr:nvSpPr>
      <xdr:spPr>
        <a:xfrm>
          <a:off x="1400175" y="1962150"/>
          <a:ext cx="5505450" cy="349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100" b="1" baseline="0">
              <a:solidFill>
                <a:srgbClr val="002060"/>
              </a:solidFill>
            </a:rPr>
            <a:t>   </a:t>
          </a:r>
          <a:r>
            <a:rPr lang="es-DO" sz="1200" b="1" baseline="0">
              <a:solidFill>
                <a:srgbClr val="002060"/>
              </a:solidFill>
            </a:rPr>
            <a:t>MATERIAL GASTABLE</a:t>
          </a:r>
          <a:endParaRPr lang="es-DO" sz="1200" b="1" baseline="0">
            <a:solidFill>
              <a:srgbClr val="00206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412749</xdr:colOff>
      <xdr:row>10</xdr:row>
      <xdr:rowOff>134937</xdr:rowOff>
    </xdr:from>
    <xdr:ext cx="1055689" cy="230188"/>
    <xdr:sp macro="" textlink="">
      <xdr:nvSpPr>
        <xdr:cNvPr id="8" name="9 CuadroTexto"/>
        <xdr:cNvSpPr txBox="1"/>
      </xdr:nvSpPr>
      <xdr:spPr>
        <a:xfrm>
          <a:off x="6937374" y="1754187"/>
          <a:ext cx="1055689" cy="23018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200" b="1" baseline="0">
              <a:solidFill>
                <a:srgbClr val="002060"/>
              </a:solidFill>
            </a:rPr>
            <a:t>28-02-2018</a:t>
          </a:r>
          <a:endParaRPr lang="es-DO" sz="1200" b="0" baseline="0">
            <a:solidFill>
              <a:srgbClr val="002060"/>
            </a:solidFill>
          </a:endParaRPr>
        </a:p>
      </xdr:txBody>
    </xdr:sp>
    <xdr:clientData/>
  </xdr:oneCellAnchor>
  <xdr:twoCellAnchor>
    <xdr:from>
      <xdr:col>3</xdr:col>
      <xdr:colOff>1508059</xdr:colOff>
      <xdr:row>285</xdr:row>
      <xdr:rowOff>0</xdr:rowOff>
    </xdr:from>
    <xdr:to>
      <xdr:col>5</xdr:col>
      <xdr:colOff>380982</xdr:colOff>
      <xdr:row>285</xdr:row>
      <xdr:rowOff>0</xdr:rowOff>
    </xdr:to>
    <xdr:cxnSp macro="">
      <xdr:nvCxnSpPr>
        <xdr:cNvPr id="11" name="2 Conector recto"/>
        <xdr:cNvCxnSpPr/>
      </xdr:nvCxnSpPr>
      <xdr:spPr>
        <a:xfrm>
          <a:off x="4098859" y="54378225"/>
          <a:ext cx="2873423" cy="0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2052648</xdr:colOff>
      <xdr:row>289</xdr:row>
      <xdr:rowOff>207966</xdr:rowOff>
    </xdr:from>
    <xdr:to>
      <xdr:col>3</xdr:col>
      <xdr:colOff>2933700</xdr:colOff>
      <xdr:row>289</xdr:row>
      <xdr:rowOff>209550</xdr:rowOff>
    </xdr:to>
    <xdr:cxnSp macro="">
      <xdr:nvCxnSpPr>
        <xdr:cNvPr id="12" name="7 Conector recto"/>
        <xdr:cNvCxnSpPr/>
      </xdr:nvCxnSpPr>
      <xdr:spPr>
        <a:xfrm>
          <a:off x="2528898" y="29459241"/>
          <a:ext cx="3033702" cy="1584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pane ySplit="10" topLeftCell="A74" activePane="bottomLeft" state="frozen"/>
      <selection pane="bottomLeft" activeCell="I10" sqref="I10"/>
    </sheetView>
  </sheetViews>
  <sheetFormatPr defaultRowHeight="15" x14ac:dyDescent="0.25"/>
  <cols>
    <col min="1" max="1" width="14.28515625" bestFit="1" customWidth="1"/>
    <col min="2" max="3" width="21.7109375" bestFit="1" customWidth="1"/>
    <col min="4" max="4" width="15.28515625" bestFit="1" customWidth="1"/>
    <col min="5" max="5" width="9" bestFit="1" customWidth="1"/>
    <col min="6" max="6" width="15.140625" customWidth="1"/>
    <col min="7" max="7" width="12.140625" customWidth="1"/>
    <col min="9" max="9" width="13.85546875" bestFit="1" customWidth="1"/>
  </cols>
  <sheetData>
    <row r="1" spans="1:9" x14ac:dyDescent="0.25">
      <c r="A1" s="62"/>
      <c r="B1" s="62"/>
      <c r="C1" s="62"/>
      <c r="D1" s="62"/>
      <c r="E1" s="62"/>
      <c r="F1" s="62"/>
      <c r="G1" s="62"/>
    </row>
    <row r="2" spans="1:9" x14ac:dyDescent="0.25">
      <c r="A2" s="62"/>
      <c r="B2" s="62"/>
      <c r="C2" s="62"/>
      <c r="D2" s="62"/>
      <c r="E2" s="62"/>
      <c r="F2" s="62"/>
      <c r="G2" s="62"/>
    </row>
    <row r="3" spans="1:9" x14ac:dyDescent="0.25">
      <c r="A3" s="62"/>
      <c r="B3" s="62"/>
      <c r="C3" s="62"/>
      <c r="D3" s="62"/>
      <c r="E3" s="62"/>
      <c r="F3" s="62"/>
      <c r="G3" s="62"/>
    </row>
    <row r="4" spans="1:9" x14ac:dyDescent="0.25">
      <c r="A4" s="62"/>
      <c r="B4" s="62"/>
      <c r="C4" s="62"/>
      <c r="D4" s="62"/>
      <c r="E4" s="62"/>
      <c r="F4" s="62"/>
      <c r="G4" s="62"/>
    </row>
    <row r="5" spans="1:9" x14ac:dyDescent="0.25">
      <c r="A5" s="62"/>
      <c r="B5" s="62"/>
      <c r="C5" s="62"/>
      <c r="D5" s="62"/>
      <c r="E5" s="62"/>
      <c r="F5" s="62"/>
      <c r="G5" s="62"/>
    </row>
    <row r="6" spans="1:9" ht="15.75" x14ac:dyDescent="0.25">
      <c r="A6" s="112" t="s">
        <v>28</v>
      </c>
      <c r="B6" s="112"/>
      <c r="C6" s="112"/>
      <c r="D6" s="112"/>
      <c r="E6" s="112"/>
      <c r="F6" s="112"/>
      <c r="G6" s="112"/>
      <c r="H6" s="63"/>
      <c r="I6" s="63"/>
    </row>
    <row r="7" spans="1:9" ht="15.75" x14ac:dyDescent="0.25">
      <c r="A7" s="112" t="s">
        <v>60</v>
      </c>
      <c r="B7" s="112"/>
      <c r="C7" s="112"/>
      <c r="D7" s="112"/>
      <c r="E7" s="112"/>
      <c r="F7" s="112"/>
      <c r="G7" s="112"/>
    </row>
    <row r="8" spans="1:9" ht="15.75" x14ac:dyDescent="0.25">
      <c r="A8" s="113" t="s">
        <v>29</v>
      </c>
      <c r="B8" s="113"/>
      <c r="C8" s="113"/>
      <c r="D8" s="113"/>
      <c r="E8" s="113"/>
      <c r="F8" s="113"/>
      <c r="G8" s="113"/>
    </row>
    <row r="9" spans="1:9" ht="15.75" x14ac:dyDescent="0.25">
      <c r="A9" s="113" t="s">
        <v>935</v>
      </c>
      <c r="B9" s="113"/>
      <c r="C9" s="113"/>
      <c r="D9" s="113"/>
      <c r="E9" s="113"/>
      <c r="F9" s="113"/>
      <c r="G9" s="113"/>
    </row>
    <row r="10" spans="1:9" ht="57" thickBot="1" x14ac:dyDescent="0.3">
      <c r="A10" s="64" t="s">
        <v>30</v>
      </c>
      <c r="B10" s="64" t="s">
        <v>31</v>
      </c>
      <c r="C10" s="65" t="s">
        <v>32</v>
      </c>
      <c r="D10" s="65" t="s">
        <v>33</v>
      </c>
      <c r="E10" s="65" t="s">
        <v>34</v>
      </c>
      <c r="F10" s="65" t="s">
        <v>35</v>
      </c>
      <c r="G10" s="65" t="s">
        <v>36</v>
      </c>
      <c r="H10" s="65" t="s">
        <v>37</v>
      </c>
      <c r="I10" s="65" t="s">
        <v>38</v>
      </c>
    </row>
    <row r="11" spans="1:9" x14ac:dyDescent="0.25">
      <c r="A11" s="66" t="s">
        <v>39</v>
      </c>
      <c r="B11" s="67">
        <v>4</v>
      </c>
      <c r="C11" s="68">
        <v>0</v>
      </c>
      <c r="D11" s="69">
        <v>60814</v>
      </c>
      <c r="E11" s="68">
        <v>1200</v>
      </c>
      <c r="F11" s="70">
        <v>0</v>
      </c>
      <c r="G11" s="69">
        <f t="shared" ref="G11:G74" si="0">+C11+D11+E11+F11</f>
        <v>62014</v>
      </c>
      <c r="H11" s="71" t="s">
        <v>40</v>
      </c>
      <c r="I11" s="72">
        <f t="shared" ref="I11:I74" si="1">+G11*H11</f>
        <v>19387436.82</v>
      </c>
    </row>
    <row r="12" spans="1:9" x14ac:dyDescent="0.25">
      <c r="A12" s="73" t="s">
        <v>39</v>
      </c>
      <c r="B12" s="74">
        <v>6</v>
      </c>
      <c r="C12" s="75">
        <v>0</v>
      </c>
      <c r="D12" s="76">
        <v>74750</v>
      </c>
      <c r="E12" s="75">
        <v>1750</v>
      </c>
      <c r="F12" s="77">
        <v>0</v>
      </c>
      <c r="G12" s="76">
        <f t="shared" si="0"/>
        <v>76500</v>
      </c>
      <c r="H12" s="78" t="s">
        <v>40</v>
      </c>
      <c r="I12" s="79">
        <f t="shared" si="1"/>
        <v>23916195</v>
      </c>
    </row>
    <row r="13" spans="1:9" x14ac:dyDescent="0.25">
      <c r="A13" s="73" t="s">
        <v>39</v>
      </c>
      <c r="B13" s="74">
        <v>8</v>
      </c>
      <c r="C13" s="80">
        <v>0</v>
      </c>
      <c r="D13" s="76">
        <v>26198</v>
      </c>
      <c r="E13" s="80">
        <v>40775</v>
      </c>
      <c r="F13" s="77">
        <v>0</v>
      </c>
      <c r="G13" s="76">
        <f t="shared" si="0"/>
        <v>66973</v>
      </c>
      <c r="H13" s="78" t="s">
        <v>40</v>
      </c>
      <c r="I13" s="79">
        <f t="shared" si="1"/>
        <v>20937768.989999998</v>
      </c>
    </row>
    <row r="14" spans="1:9" x14ac:dyDescent="0.25">
      <c r="A14" s="73" t="s">
        <v>39</v>
      </c>
      <c r="B14" s="74">
        <v>10</v>
      </c>
      <c r="C14" s="75">
        <v>0</v>
      </c>
      <c r="D14" s="76">
        <v>1507</v>
      </c>
      <c r="E14" s="75">
        <v>0</v>
      </c>
      <c r="F14" s="77">
        <v>0</v>
      </c>
      <c r="G14" s="76">
        <f t="shared" si="0"/>
        <v>1507</v>
      </c>
      <c r="H14" s="81">
        <v>312.63</v>
      </c>
      <c r="I14" s="79">
        <f t="shared" si="1"/>
        <v>471133.41</v>
      </c>
    </row>
    <row r="15" spans="1:9" x14ac:dyDescent="0.25">
      <c r="A15" s="73" t="s">
        <v>39</v>
      </c>
      <c r="B15" s="74">
        <v>12</v>
      </c>
      <c r="C15" s="75">
        <v>0</v>
      </c>
      <c r="D15" s="76">
        <v>1689</v>
      </c>
      <c r="E15" s="75">
        <v>0</v>
      </c>
      <c r="F15" s="77">
        <v>0</v>
      </c>
      <c r="G15" s="76">
        <f t="shared" si="0"/>
        <v>1689</v>
      </c>
      <c r="H15" s="81">
        <v>312.63</v>
      </c>
      <c r="I15" s="79">
        <f t="shared" si="1"/>
        <v>528032.06999999995</v>
      </c>
    </row>
    <row r="16" spans="1:9" x14ac:dyDescent="0.25">
      <c r="A16" s="73" t="s">
        <v>39</v>
      </c>
      <c r="B16" s="74">
        <v>14</v>
      </c>
      <c r="C16" s="82">
        <v>0</v>
      </c>
      <c r="D16" s="76">
        <v>1783</v>
      </c>
      <c r="E16" s="82">
        <v>0</v>
      </c>
      <c r="F16" s="76">
        <v>0</v>
      </c>
      <c r="G16" s="76">
        <f t="shared" si="0"/>
        <v>1783</v>
      </c>
      <c r="H16" s="83">
        <v>312.63</v>
      </c>
      <c r="I16" s="84">
        <f t="shared" si="1"/>
        <v>557419.29</v>
      </c>
    </row>
    <row r="17" spans="1:9" x14ac:dyDescent="0.25">
      <c r="A17" s="73" t="s">
        <v>39</v>
      </c>
      <c r="B17" s="74">
        <v>16</v>
      </c>
      <c r="C17" s="82">
        <v>0</v>
      </c>
      <c r="D17" s="76">
        <v>6519</v>
      </c>
      <c r="E17" s="82">
        <v>3475</v>
      </c>
      <c r="F17" s="76">
        <v>0</v>
      </c>
      <c r="G17" s="76">
        <f t="shared" si="0"/>
        <v>9994</v>
      </c>
      <c r="H17" s="83">
        <v>312.63</v>
      </c>
      <c r="I17" s="84">
        <f t="shared" si="1"/>
        <v>3124424.2199999997</v>
      </c>
    </row>
    <row r="18" spans="1:9" x14ac:dyDescent="0.25">
      <c r="A18" s="73" t="s">
        <v>39</v>
      </c>
      <c r="B18" s="74">
        <v>18</v>
      </c>
      <c r="C18" s="82">
        <v>0</v>
      </c>
      <c r="D18" s="76">
        <v>3424</v>
      </c>
      <c r="E18" s="82">
        <v>0</v>
      </c>
      <c r="F18" s="76">
        <v>0</v>
      </c>
      <c r="G18" s="76">
        <f t="shared" si="0"/>
        <v>3424</v>
      </c>
      <c r="H18" s="83">
        <v>312.63</v>
      </c>
      <c r="I18" s="84">
        <f t="shared" si="1"/>
        <v>1070445.1199999999</v>
      </c>
    </row>
    <row r="19" spans="1:9" x14ac:dyDescent="0.25">
      <c r="A19" s="73" t="s">
        <v>39</v>
      </c>
      <c r="B19" s="74">
        <v>20</v>
      </c>
      <c r="C19" s="75">
        <v>0</v>
      </c>
      <c r="D19" s="76">
        <v>18137</v>
      </c>
      <c r="E19" s="75">
        <v>1175</v>
      </c>
      <c r="F19" s="77">
        <v>0</v>
      </c>
      <c r="G19" s="76">
        <f t="shared" si="0"/>
        <v>19312</v>
      </c>
      <c r="H19" s="81">
        <v>312.63</v>
      </c>
      <c r="I19" s="79">
        <f t="shared" si="1"/>
        <v>6037510.5599999996</v>
      </c>
    </row>
    <row r="20" spans="1:9" x14ac:dyDescent="0.25">
      <c r="A20" s="73" t="s">
        <v>39</v>
      </c>
      <c r="B20" s="74">
        <v>22</v>
      </c>
      <c r="C20" s="75">
        <v>0</v>
      </c>
      <c r="D20" s="76">
        <v>24757</v>
      </c>
      <c r="E20" s="75">
        <v>4375</v>
      </c>
      <c r="F20" s="77">
        <v>0</v>
      </c>
      <c r="G20" s="76">
        <f t="shared" si="0"/>
        <v>29132</v>
      </c>
      <c r="H20" s="81">
        <v>312.63</v>
      </c>
      <c r="I20" s="79">
        <f t="shared" si="1"/>
        <v>9107537.1600000001</v>
      </c>
    </row>
    <row r="21" spans="1:9" x14ac:dyDescent="0.25">
      <c r="A21" s="73" t="s">
        <v>39</v>
      </c>
      <c r="B21" s="74">
        <v>24</v>
      </c>
      <c r="C21" s="75">
        <v>0</v>
      </c>
      <c r="D21" s="76">
        <v>11019</v>
      </c>
      <c r="E21" s="75">
        <v>1950</v>
      </c>
      <c r="F21" s="77">
        <v>0</v>
      </c>
      <c r="G21" s="76">
        <f t="shared" si="0"/>
        <v>12969</v>
      </c>
      <c r="H21" s="81">
        <v>312.63</v>
      </c>
      <c r="I21" s="79">
        <f t="shared" si="1"/>
        <v>4054498.4699999997</v>
      </c>
    </row>
    <row r="22" spans="1:9" x14ac:dyDescent="0.25">
      <c r="A22" s="73" t="s">
        <v>39</v>
      </c>
      <c r="B22" s="74">
        <v>26</v>
      </c>
      <c r="C22" s="75">
        <v>0</v>
      </c>
      <c r="D22" s="76">
        <v>5364</v>
      </c>
      <c r="E22" s="75">
        <v>1500</v>
      </c>
      <c r="F22" s="77">
        <v>0</v>
      </c>
      <c r="G22" s="76">
        <f t="shared" si="0"/>
        <v>6864</v>
      </c>
      <c r="H22" s="81">
        <v>312.63</v>
      </c>
      <c r="I22" s="79">
        <f t="shared" si="1"/>
        <v>2145892.3199999998</v>
      </c>
    </row>
    <row r="23" spans="1:9" x14ac:dyDescent="0.25">
      <c r="A23" s="73" t="s">
        <v>41</v>
      </c>
      <c r="B23" s="74">
        <v>4</v>
      </c>
      <c r="C23" s="75">
        <v>0</v>
      </c>
      <c r="D23" s="76">
        <v>3863</v>
      </c>
      <c r="E23" s="75">
        <v>0</v>
      </c>
      <c r="F23" s="77">
        <v>0</v>
      </c>
      <c r="G23" s="76">
        <f t="shared" si="0"/>
        <v>3863</v>
      </c>
      <c r="H23" s="81">
        <v>312.63</v>
      </c>
      <c r="I23" s="79">
        <f t="shared" si="1"/>
        <v>1207689.69</v>
      </c>
    </row>
    <row r="24" spans="1:9" x14ac:dyDescent="0.25">
      <c r="A24" s="73" t="s">
        <v>41</v>
      </c>
      <c r="B24" s="74">
        <v>6</v>
      </c>
      <c r="C24" s="75">
        <v>0</v>
      </c>
      <c r="D24" s="76">
        <v>34014</v>
      </c>
      <c r="E24" s="75">
        <v>0</v>
      </c>
      <c r="F24" s="77">
        <v>0</v>
      </c>
      <c r="G24" s="76">
        <f t="shared" si="0"/>
        <v>34014</v>
      </c>
      <c r="H24" s="81">
        <v>156.76</v>
      </c>
      <c r="I24" s="79">
        <f t="shared" si="1"/>
        <v>5332034.6399999997</v>
      </c>
    </row>
    <row r="25" spans="1:9" x14ac:dyDescent="0.25">
      <c r="A25" s="73" t="s">
        <v>41</v>
      </c>
      <c r="B25" s="74">
        <v>8</v>
      </c>
      <c r="C25" s="75">
        <v>0</v>
      </c>
      <c r="D25" s="76">
        <v>1280</v>
      </c>
      <c r="E25" s="75">
        <v>0</v>
      </c>
      <c r="F25" s="77">
        <v>0</v>
      </c>
      <c r="G25" s="76">
        <f t="shared" si="0"/>
        <v>1280</v>
      </c>
      <c r="H25" s="81">
        <v>156.76</v>
      </c>
      <c r="I25" s="79">
        <f t="shared" si="1"/>
        <v>200652.79999999999</v>
      </c>
    </row>
    <row r="26" spans="1:9" x14ac:dyDescent="0.25">
      <c r="A26" s="73" t="s">
        <v>41</v>
      </c>
      <c r="B26" s="74">
        <v>10</v>
      </c>
      <c r="C26" s="75">
        <v>0</v>
      </c>
      <c r="D26" s="76">
        <v>365</v>
      </c>
      <c r="E26" s="75">
        <v>0</v>
      </c>
      <c r="F26" s="77">
        <v>0</v>
      </c>
      <c r="G26" s="76">
        <f t="shared" si="0"/>
        <v>365</v>
      </c>
      <c r="H26" s="81">
        <v>156.76</v>
      </c>
      <c r="I26" s="79">
        <f t="shared" si="1"/>
        <v>57217.399999999994</v>
      </c>
    </row>
    <row r="27" spans="1:9" x14ac:dyDescent="0.25">
      <c r="A27" s="73" t="s">
        <v>41</v>
      </c>
      <c r="B27" s="74">
        <v>12</v>
      </c>
      <c r="C27" s="75">
        <v>0</v>
      </c>
      <c r="D27" s="76">
        <v>560</v>
      </c>
      <c r="E27" s="75">
        <v>0</v>
      </c>
      <c r="F27" s="77">
        <v>0</v>
      </c>
      <c r="G27" s="76">
        <f t="shared" si="0"/>
        <v>560</v>
      </c>
      <c r="H27" s="81">
        <v>156.76</v>
      </c>
      <c r="I27" s="79">
        <f t="shared" si="1"/>
        <v>87785.599999999991</v>
      </c>
    </row>
    <row r="28" spans="1:9" x14ac:dyDescent="0.25">
      <c r="A28" s="73" t="s">
        <v>41</v>
      </c>
      <c r="B28" s="74">
        <v>14</v>
      </c>
      <c r="C28" s="75">
        <v>0</v>
      </c>
      <c r="D28" s="76">
        <v>325</v>
      </c>
      <c r="E28" s="75">
        <v>0</v>
      </c>
      <c r="F28" s="77">
        <v>0</v>
      </c>
      <c r="G28" s="76">
        <f t="shared" si="0"/>
        <v>325</v>
      </c>
      <c r="H28" s="81">
        <v>156.76</v>
      </c>
      <c r="I28" s="79">
        <f t="shared" si="1"/>
        <v>50947</v>
      </c>
    </row>
    <row r="29" spans="1:9" x14ac:dyDescent="0.25">
      <c r="A29" s="73" t="s">
        <v>41</v>
      </c>
      <c r="B29" s="74">
        <v>16</v>
      </c>
      <c r="C29" s="75">
        <v>0</v>
      </c>
      <c r="D29" s="76">
        <v>6</v>
      </c>
      <c r="E29" s="75">
        <v>0</v>
      </c>
      <c r="F29" s="77">
        <v>0</v>
      </c>
      <c r="G29" s="76">
        <f t="shared" si="0"/>
        <v>6</v>
      </c>
      <c r="H29" s="81">
        <v>156.76</v>
      </c>
      <c r="I29" s="79">
        <f t="shared" si="1"/>
        <v>940.56</v>
      </c>
    </row>
    <row r="30" spans="1:9" x14ac:dyDescent="0.25">
      <c r="A30" s="73" t="s">
        <v>41</v>
      </c>
      <c r="B30" s="74">
        <v>18</v>
      </c>
      <c r="C30" s="75">
        <v>0</v>
      </c>
      <c r="D30" s="76">
        <v>32279</v>
      </c>
      <c r="E30" s="75">
        <v>0</v>
      </c>
      <c r="F30" s="77">
        <v>0</v>
      </c>
      <c r="G30" s="76">
        <f t="shared" si="0"/>
        <v>32279</v>
      </c>
      <c r="H30" s="81">
        <v>156.76</v>
      </c>
      <c r="I30" s="79">
        <f t="shared" si="1"/>
        <v>5060056.04</v>
      </c>
    </row>
    <row r="31" spans="1:9" x14ac:dyDescent="0.25">
      <c r="A31" s="73" t="s">
        <v>41</v>
      </c>
      <c r="B31" s="74">
        <v>20</v>
      </c>
      <c r="C31" s="82">
        <v>0</v>
      </c>
      <c r="D31" s="76">
        <v>15460</v>
      </c>
      <c r="E31" s="82">
        <v>0</v>
      </c>
      <c r="F31" s="77">
        <v>0</v>
      </c>
      <c r="G31" s="76">
        <f t="shared" si="0"/>
        <v>15460</v>
      </c>
      <c r="H31" s="81">
        <v>156.76</v>
      </c>
      <c r="I31" s="79">
        <f t="shared" si="1"/>
        <v>2423509.5999999996</v>
      </c>
    </row>
    <row r="32" spans="1:9" x14ac:dyDescent="0.25">
      <c r="A32" s="73" t="s">
        <v>41</v>
      </c>
      <c r="B32" s="74">
        <v>22</v>
      </c>
      <c r="C32" s="82">
        <v>0</v>
      </c>
      <c r="D32" s="76">
        <v>0</v>
      </c>
      <c r="E32" s="82">
        <v>0</v>
      </c>
      <c r="F32" s="77">
        <v>0</v>
      </c>
      <c r="G32" s="76">
        <f t="shared" si="0"/>
        <v>0</v>
      </c>
      <c r="H32" s="81">
        <v>156.76</v>
      </c>
      <c r="I32" s="79">
        <f t="shared" si="1"/>
        <v>0</v>
      </c>
    </row>
    <row r="33" spans="1:9" x14ac:dyDescent="0.25">
      <c r="A33" s="73" t="s">
        <v>41</v>
      </c>
      <c r="B33" s="74">
        <v>24</v>
      </c>
      <c r="C33" s="82">
        <v>0</v>
      </c>
      <c r="D33" s="76">
        <v>14</v>
      </c>
      <c r="E33" s="82">
        <v>0</v>
      </c>
      <c r="F33" s="77">
        <v>0</v>
      </c>
      <c r="G33" s="76">
        <f t="shared" si="0"/>
        <v>14</v>
      </c>
      <c r="H33" s="81">
        <v>156.76</v>
      </c>
      <c r="I33" s="79">
        <f t="shared" si="1"/>
        <v>2194.64</v>
      </c>
    </row>
    <row r="34" spans="1:9" x14ac:dyDescent="0.25">
      <c r="A34" s="73" t="s">
        <v>42</v>
      </c>
      <c r="B34" s="74">
        <v>27</v>
      </c>
      <c r="C34" s="75">
        <v>15</v>
      </c>
      <c r="D34" s="76">
        <v>985</v>
      </c>
      <c r="E34" s="75">
        <v>0</v>
      </c>
      <c r="F34" s="77">
        <v>0</v>
      </c>
      <c r="G34" s="76">
        <f t="shared" si="0"/>
        <v>1000</v>
      </c>
      <c r="H34" s="85">
        <v>477</v>
      </c>
      <c r="I34" s="79">
        <f t="shared" si="1"/>
        <v>477000</v>
      </c>
    </row>
    <row r="35" spans="1:9" x14ac:dyDescent="0.25">
      <c r="A35" s="73" t="s">
        <v>42</v>
      </c>
      <c r="B35" s="74">
        <v>28</v>
      </c>
      <c r="C35" s="75">
        <v>17</v>
      </c>
      <c r="D35" s="76">
        <v>0</v>
      </c>
      <c r="E35" s="75">
        <v>0</v>
      </c>
      <c r="F35" s="77">
        <v>0</v>
      </c>
      <c r="G35" s="76">
        <f t="shared" si="0"/>
        <v>17</v>
      </c>
      <c r="H35" s="85">
        <v>477</v>
      </c>
      <c r="I35" s="79">
        <f t="shared" si="1"/>
        <v>8109</v>
      </c>
    </row>
    <row r="36" spans="1:9" x14ac:dyDescent="0.25">
      <c r="A36" s="73" t="s">
        <v>42</v>
      </c>
      <c r="B36" s="74">
        <v>29</v>
      </c>
      <c r="C36" s="86">
        <v>512</v>
      </c>
      <c r="D36" s="76">
        <v>29</v>
      </c>
      <c r="E36" s="86">
        <v>0</v>
      </c>
      <c r="F36" s="76">
        <v>0</v>
      </c>
      <c r="G36" s="76">
        <f t="shared" si="0"/>
        <v>541</v>
      </c>
      <c r="H36" s="87">
        <v>477</v>
      </c>
      <c r="I36" s="84">
        <f t="shared" si="1"/>
        <v>258057</v>
      </c>
    </row>
    <row r="37" spans="1:9" x14ac:dyDescent="0.25">
      <c r="A37" s="73" t="s">
        <v>42</v>
      </c>
      <c r="B37" s="74">
        <v>30</v>
      </c>
      <c r="C37" s="88">
        <v>138</v>
      </c>
      <c r="D37" s="76">
        <v>4</v>
      </c>
      <c r="E37" s="88">
        <v>0</v>
      </c>
      <c r="F37" s="77">
        <v>0</v>
      </c>
      <c r="G37" s="76">
        <f t="shared" si="0"/>
        <v>142</v>
      </c>
      <c r="H37" s="85">
        <v>477</v>
      </c>
      <c r="I37" s="79">
        <f t="shared" si="1"/>
        <v>67734</v>
      </c>
    </row>
    <row r="38" spans="1:9" x14ac:dyDescent="0.25">
      <c r="A38" s="73" t="s">
        <v>42</v>
      </c>
      <c r="B38" s="74">
        <v>31</v>
      </c>
      <c r="C38" s="86">
        <v>0</v>
      </c>
      <c r="D38" s="76">
        <v>3726</v>
      </c>
      <c r="E38" s="86">
        <v>0</v>
      </c>
      <c r="F38" s="76">
        <v>0</v>
      </c>
      <c r="G38" s="76">
        <f t="shared" si="0"/>
        <v>3726</v>
      </c>
      <c r="H38" s="87">
        <v>477</v>
      </c>
      <c r="I38" s="84">
        <f t="shared" si="1"/>
        <v>1777302</v>
      </c>
    </row>
    <row r="39" spans="1:9" x14ac:dyDescent="0.25">
      <c r="A39" s="73" t="s">
        <v>42</v>
      </c>
      <c r="B39" s="74">
        <v>32</v>
      </c>
      <c r="C39" s="75">
        <v>113</v>
      </c>
      <c r="D39" s="76">
        <v>0</v>
      </c>
      <c r="E39" s="75">
        <v>0</v>
      </c>
      <c r="F39" s="77">
        <v>0</v>
      </c>
      <c r="G39" s="76">
        <f t="shared" si="0"/>
        <v>113</v>
      </c>
      <c r="H39" s="85">
        <v>477</v>
      </c>
      <c r="I39" s="79">
        <f t="shared" si="1"/>
        <v>53901</v>
      </c>
    </row>
    <row r="40" spans="1:9" x14ac:dyDescent="0.25">
      <c r="A40" s="73" t="s">
        <v>42</v>
      </c>
      <c r="B40" s="74">
        <v>33</v>
      </c>
      <c r="C40" s="75">
        <v>1</v>
      </c>
      <c r="D40" s="76">
        <v>3</v>
      </c>
      <c r="E40" s="75">
        <v>0</v>
      </c>
      <c r="F40" s="77">
        <v>0</v>
      </c>
      <c r="G40" s="76">
        <f t="shared" si="0"/>
        <v>4</v>
      </c>
      <c r="H40" s="85">
        <v>477</v>
      </c>
      <c r="I40" s="79">
        <f t="shared" si="1"/>
        <v>1908</v>
      </c>
    </row>
    <row r="41" spans="1:9" x14ac:dyDescent="0.25">
      <c r="A41" s="73" t="s">
        <v>42</v>
      </c>
      <c r="B41" s="74">
        <v>34</v>
      </c>
      <c r="C41" s="89">
        <v>4161</v>
      </c>
      <c r="D41" s="76">
        <v>2436</v>
      </c>
      <c r="E41" s="89">
        <v>0</v>
      </c>
      <c r="F41" s="77">
        <v>0</v>
      </c>
      <c r="G41" s="76">
        <f t="shared" si="0"/>
        <v>6597</v>
      </c>
      <c r="H41" s="85">
        <v>500</v>
      </c>
      <c r="I41" s="79">
        <f t="shared" si="1"/>
        <v>3298500</v>
      </c>
    </row>
    <row r="42" spans="1:9" x14ac:dyDescent="0.25">
      <c r="A42" s="73" t="s">
        <v>42</v>
      </c>
      <c r="B42" s="74">
        <v>35</v>
      </c>
      <c r="C42" s="75">
        <v>8400</v>
      </c>
      <c r="D42" s="76">
        <v>2700</v>
      </c>
      <c r="E42" s="75">
        <v>0</v>
      </c>
      <c r="F42" s="77">
        <v>0</v>
      </c>
      <c r="G42" s="76">
        <f t="shared" si="0"/>
        <v>11100</v>
      </c>
      <c r="H42" s="85">
        <v>500</v>
      </c>
      <c r="I42" s="79">
        <f t="shared" si="1"/>
        <v>5550000</v>
      </c>
    </row>
    <row r="43" spans="1:9" x14ac:dyDescent="0.25">
      <c r="A43" s="73" t="s">
        <v>42</v>
      </c>
      <c r="B43" s="74">
        <v>36</v>
      </c>
      <c r="C43" s="75">
        <v>8334</v>
      </c>
      <c r="D43" s="76">
        <v>3904</v>
      </c>
      <c r="E43" s="75">
        <v>0</v>
      </c>
      <c r="F43" s="77">
        <v>0</v>
      </c>
      <c r="G43" s="76">
        <f t="shared" si="0"/>
        <v>12238</v>
      </c>
      <c r="H43" s="85">
        <v>500</v>
      </c>
      <c r="I43" s="79">
        <f t="shared" si="1"/>
        <v>6119000</v>
      </c>
    </row>
    <row r="44" spans="1:9" x14ac:dyDescent="0.25">
      <c r="A44" s="73" t="s">
        <v>42</v>
      </c>
      <c r="B44" s="74">
        <v>37</v>
      </c>
      <c r="C44" s="75">
        <v>9615</v>
      </c>
      <c r="D44" s="76">
        <v>12318</v>
      </c>
      <c r="E44" s="75">
        <v>0</v>
      </c>
      <c r="F44" s="77">
        <v>0</v>
      </c>
      <c r="G44" s="76">
        <f t="shared" si="0"/>
        <v>21933</v>
      </c>
      <c r="H44" s="85">
        <v>500</v>
      </c>
      <c r="I44" s="79">
        <f t="shared" si="1"/>
        <v>10966500</v>
      </c>
    </row>
    <row r="45" spans="1:9" x14ac:dyDescent="0.25">
      <c r="A45" s="73" t="s">
        <v>42</v>
      </c>
      <c r="B45" s="74">
        <v>38</v>
      </c>
      <c r="C45" s="75">
        <v>9603</v>
      </c>
      <c r="D45" s="76">
        <v>10312</v>
      </c>
      <c r="E45" s="75">
        <v>0</v>
      </c>
      <c r="F45" s="77">
        <v>0</v>
      </c>
      <c r="G45" s="76">
        <f t="shared" si="0"/>
        <v>19915</v>
      </c>
      <c r="H45" s="85">
        <v>500</v>
      </c>
      <c r="I45" s="79">
        <f t="shared" si="1"/>
        <v>9957500</v>
      </c>
    </row>
    <row r="46" spans="1:9" x14ac:dyDescent="0.25">
      <c r="A46" s="73" t="s">
        <v>42</v>
      </c>
      <c r="B46" s="74">
        <v>39</v>
      </c>
      <c r="C46" s="75">
        <v>8662</v>
      </c>
      <c r="D46" s="76">
        <v>18763</v>
      </c>
      <c r="E46" s="75">
        <v>0</v>
      </c>
      <c r="F46" s="77">
        <v>0</v>
      </c>
      <c r="G46" s="76">
        <f t="shared" si="0"/>
        <v>27425</v>
      </c>
      <c r="H46" s="85">
        <v>500</v>
      </c>
      <c r="I46" s="79">
        <f t="shared" si="1"/>
        <v>13712500</v>
      </c>
    </row>
    <row r="47" spans="1:9" x14ac:dyDescent="0.25">
      <c r="A47" s="73" t="s">
        <v>42</v>
      </c>
      <c r="B47" s="74">
        <v>40</v>
      </c>
      <c r="C47" s="89">
        <v>6323</v>
      </c>
      <c r="D47" s="76">
        <v>11260</v>
      </c>
      <c r="E47" s="89">
        <v>0</v>
      </c>
      <c r="F47" s="77">
        <v>0</v>
      </c>
      <c r="G47" s="76">
        <f t="shared" si="0"/>
        <v>17583</v>
      </c>
      <c r="H47" s="85">
        <v>500</v>
      </c>
      <c r="I47" s="79">
        <f t="shared" si="1"/>
        <v>8791500</v>
      </c>
    </row>
    <row r="48" spans="1:9" x14ac:dyDescent="0.25">
      <c r="A48" s="73" t="s">
        <v>42</v>
      </c>
      <c r="B48" s="74">
        <v>41</v>
      </c>
      <c r="C48" s="75">
        <v>3122</v>
      </c>
      <c r="D48" s="76">
        <v>14028</v>
      </c>
      <c r="E48" s="75">
        <v>0</v>
      </c>
      <c r="F48" s="77">
        <v>0</v>
      </c>
      <c r="G48" s="76">
        <f t="shared" si="0"/>
        <v>17150</v>
      </c>
      <c r="H48" s="85">
        <v>500</v>
      </c>
      <c r="I48" s="79">
        <f t="shared" si="1"/>
        <v>8575000</v>
      </c>
    </row>
    <row r="49" spans="1:9" x14ac:dyDescent="0.25">
      <c r="A49" s="73" t="s">
        <v>42</v>
      </c>
      <c r="B49" s="74">
        <v>42</v>
      </c>
      <c r="C49" s="75">
        <v>2320</v>
      </c>
      <c r="D49" s="76">
        <v>5248</v>
      </c>
      <c r="E49" s="75">
        <v>0</v>
      </c>
      <c r="F49" s="77">
        <v>0</v>
      </c>
      <c r="G49" s="76">
        <f t="shared" si="0"/>
        <v>7568</v>
      </c>
      <c r="H49" s="85">
        <v>500</v>
      </c>
      <c r="I49" s="79">
        <f t="shared" si="1"/>
        <v>3784000</v>
      </c>
    </row>
    <row r="50" spans="1:9" x14ac:dyDescent="0.25">
      <c r="A50" s="73" t="s">
        <v>42</v>
      </c>
      <c r="B50" s="74">
        <v>43</v>
      </c>
      <c r="C50" s="75">
        <v>295</v>
      </c>
      <c r="D50" s="76">
        <v>0</v>
      </c>
      <c r="E50" s="75">
        <v>0</v>
      </c>
      <c r="F50" s="77">
        <v>0</v>
      </c>
      <c r="G50" s="76">
        <f t="shared" si="0"/>
        <v>295</v>
      </c>
      <c r="H50" s="85">
        <v>500</v>
      </c>
      <c r="I50" s="79">
        <f t="shared" si="1"/>
        <v>147500</v>
      </c>
    </row>
    <row r="51" spans="1:9" x14ac:dyDescent="0.25">
      <c r="A51" s="73" t="s">
        <v>42</v>
      </c>
      <c r="B51" s="74">
        <v>44</v>
      </c>
      <c r="C51" s="75">
        <v>95</v>
      </c>
      <c r="D51" s="76">
        <v>0</v>
      </c>
      <c r="E51" s="75">
        <v>0</v>
      </c>
      <c r="F51" s="77">
        <v>0</v>
      </c>
      <c r="G51" s="76">
        <f t="shared" si="0"/>
        <v>95</v>
      </c>
      <c r="H51" s="85">
        <v>500</v>
      </c>
      <c r="I51" s="79">
        <f t="shared" si="1"/>
        <v>47500</v>
      </c>
    </row>
    <row r="52" spans="1:9" x14ac:dyDescent="0.25">
      <c r="A52" s="73" t="s">
        <v>43</v>
      </c>
      <c r="B52" s="74">
        <v>27</v>
      </c>
      <c r="C52" s="75">
        <v>164</v>
      </c>
      <c r="D52" s="76">
        <v>1219</v>
      </c>
      <c r="E52" s="75">
        <v>0</v>
      </c>
      <c r="F52" s="77">
        <v>0</v>
      </c>
      <c r="G52" s="76">
        <f t="shared" si="0"/>
        <v>1383</v>
      </c>
      <c r="H52" s="85">
        <v>477</v>
      </c>
      <c r="I52" s="79">
        <f t="shared" si="1"/>
        <v>659691</v>
      </c>
    </row>
    <row r="53" spans="1:9" x14ac:dyDescent="0.25">
      <c r="A53" s="73" t="s">
        <v>43</v>
      </c>
      <c r="B53" s="74">
        <v>28</v>
      </c>
      <c r="C53" s="88">
        <v>649</v>
      </c>
      <c r="D53" s="76">
        <v>42</v>
      </c>
      <c r="E53" s="88">
        <v>0</v>
      </c>
      <c r="F53" s="77">
        <v>0</v>
      </c>
      <c r="G53" s="76">
        <f t="shared" si="0"/>
        <v>691</v>
      </c>
      <c r="H53" s="85">
        <v>477</v>
      </c>
      <c r="I53" s="79">
        <f t="shared" si="1"/>
        <v>329607</v>
      </c>
    </row>
    <row r="54" spans="1:9" x14ac:dyDescent="0.25">
      <c r="A54" s="73" t="s">
        <v>43</v>
      </c>
      <c r="B54" s="74">
        <v>29</v>
      </c>
      <c r="C54" s="88">
        <v>4129</v>
      </c>
      <c r="D54" s="76">
        <v>9004</v>
      </c>
      <c r="E54" s="88">
        <v>7060</v>
      </c>
      <c r="F54" s="77">
        <v>0</v>
      </c>
      <c r="G54" s="76">
        <f t="shared" si="0"/>
        <v>20193</v>
      </c>
      <c r="H54" s="85">
        <v>477</v>
      </c>
      <c r="I54" s="79">
        <f t="shared" si="1"/>
        <v>9632061</v>
      </c>
    </row>
    <row r="55" spans="1:9" x14ac:dyDescent="0.25">
      <c r="A55" s="73" t="s">
        <v>43</v>
      </c>
      <c r="B55" s="74">
        <v>30</v>
      </c>
      <c r="C55" s="88">
        <v>1300</v>
      </c>
      <c r="D55" s="76">
        <v>1695</v>
      </c>
      <c r="E55" s="88">
        <v>0</v>
      </c>
      <c r="F55" s="77">
        <v>0</v>
      </c>
      <c r="G55" s="76">
        <f t="shared" si="0"/>
        <v>2995</v>
      </c>
      <c r="H55" s="85">
        <v>477</v>
      </c>
      <c r="I55" s="79">
        <f t="shared" si="1"/>
        <v>1428615</v>
      </c>
    </row>
    <row r="56" spans="1:9" x14ac:dyDescent="0.25">
      <c r="A56" s="73" t="s">
        <v>43</v>
      </c>
      <c r="B56" s="74">
        <v>31</v>
      </c>
      <c r="C56" s="88">
        <v>3942</v>
      </c>
      <c r="D56" s="76">
        <v>16680</v>
      </c>
      <c r="E56" s="88">
        <v>0</v>
      </c>
      <c r="F56" s="77">
        <v>0</v>
      </c>
      <c r="G56" s="76">
        <f t="shared" si="0"/>
        <v>20622</v>
      </c>
      <c r="H56" s="85">
        <v>477</v>
      </c>
      <c r="I56" s="79">
        <f t="shared" si="1"/>
        <v>9836694</v>
      </c>
    </row>
    <row r="57" spans="1:9" x14ac:dyDescent="0.25">
      <c r="A57" s="73" t="s">
        <v>43</v>
      </c>
      <c r="B57" s="74">
        <v>32</v>
      </c>
      <c r="C57" s="88">
        <v>386</v>
      </c>
      <c r="D57" s="76">
        <v>1587</v>
      </c>
      <c r="E57" s="88">
        <v>0</v>
      </c>
      <c r="F57" s="77">
        <v>0</v>
      </c>
      <c r="G57" s="76">
        <f t="shared" si="0"/>
        <v>1973</v>
      </c>
      <c r="H57" s="85">
        <v>477</v>
      </c>
      <c r="I57" s="79">
        <f t="shared" si="1"/>
        <v>941121</v>
      </c>
    </row>
    <row r="58" spans="1:9" x14ac:dyDescent="0.25">
      <c r="A58" s="73" t="s">
        <v>43</v>
      </c>
      <c r="B58" s="74">
        <v>33</v>
      </c>
      <c r="C58" s="88">
        <v>3</v>
      </c>
      <c r="D58" s="76">
        <v>184</v>
      </c>
      <c r="E58" s="88">
        <v>0</v>
      </c>
      <c r="F58" s="77">
        <v>0</v>
      </c>
      <c r="G58" s="76">
        <f t="shared" si="0"/>
        <v>187</v>
      </c>
      <c r="H58" s="85">
        <v>477</v>
      </c>
      <c r="I58" s="79">
        <f t="shared" si="1"/>
        <v>89199</v>
      </c>
    </row>
    <row r="59" spans="1:9" x14ac:dyDescent="0.25">
      <c r="A59" s="73" t="s">
        <v>43</v>
      </c>
      <c r="B59" s="74">
        <v>34</v>
      </c>
      <c r="C59" s="75">
        <v>4</v>
      </c>
      <c r="D59" s="76">
        <v>3367</v>
      </c>
      <c r="E59" s="75">
        <v>0</v>
      </c>
      <c r="F59" s="77">
        <v>0</v>
      </c>
      <c r="G59" s="76">
        <f t="shared" si="0"/>
        <v>3371</v>
      </c>
      <c r="H59" s="85">
        <v>500</v>
      </c>
      <c r="I59" s="79">
        <f t="shared" si="1"/>
        <v>1685500</v>
      </c>
    </row>
    <row r="60" spans="1:9" x14ac:dyDescent="0.25">
      <c r="A60" s="73" t="s">
        <v>43</v>
      </c>
      <c r="B60" s="74">
        <v>35</v>
      </c>
      <c r="C60" s="75">
        <v>7179</v>
      </c>
      <c r="D60" s="76">
        <v>538</v>
      </c>
      <c r="E60" s="75">
        <v>0</v>
      </c>
      <c r="F60" s="77">
        <v>0</v>
      </c>
      <c r="G60" s="76">
        <f t="shared" si="0"/>
        <v>7717</v>
      </c>
      <c r="H60" s="85">
        <v>500</v>
      </c>
      <c r="I60" s="79">
        <f t="shared" si="1"/>
        <v>3858500</v>
      </c>
    </row>
    <row r="61" spans="1:9" x14ac:dyDescent="0.25">
      <c r="A61" s="73" t="s">
        <v>43</v>
      </c>
      <c r="B61" s="74">
        <v>36</v>
      </c>
      <c r="C61" s="75">
        <v>0</v>
      </c>
      <c r="D61" s="76">
        <v>542</v>
      </c>
      <c r="E61" s="75">
        <v>0</v>
      </c>
      <c r="F61" s="77">
        <v>0</v>
      </c>
      <c r="G61" s="76">
        <f t="shared" si="0"/>
        <v>542</v>
      </c>
      <c r="H61" s="85">
        <v>500</v>
      </c>
      <c r="I61" s="79">
        <f t="shared" si="1"/>
        <v>271000</v>
      </c>
    </row>
    <row r="62" spans="1:9" x14ac:dyDescent="0.25">
      <c r="A62" s="73" t="s">
        <v>43</v>
      </c>
      <c r="B62" s="74">
        <v>37</v>
      </c>
      <c r="C62" s="75">
        <v>207</v>
      </c>
      <c r="D62" s="76">
        <v>248</v>
      </c>
      <c r="E62" s="75">
        <v>0</v>
      </c>
      <c r="F62" s="77">
        <v>0</v>
      </c>
      <c r="G62" s="76">
        <f t="shared" si="0"/>
        <v>455</v>
      </c>
      <c r="H62" s="85">
        <v>500</v>
      </c>
      <c r="I62" s="79">
        <f t="shared" si="1"/>
        <v>227500</v>
      </c>
    </row>
    <row r="63" spans="1:9" x14ac:dyDescent="0.25">
      <c r="A63" s="73" t="s">
        <v>43</v>
      </c>
      <c r="B63" s="74">
        <v>38</v>
      </c>
      <c r="C63" s="75">
        <v>309</v>
      </c>
      <c r="D63" s="76">
        <v>1902</v>
      </c>
      <c r="E63" s="75">
        <v>0</v>
      </c>
      <c r="F63" s="77">
        <v>0</v>
      </c>
      <c r="G63" s="76">
        <f t="shared" si="0"/>
        <v>2211</v>
      </c>
      <c r="H63" s="85">
        <v>500</v>
      </c>
      <c r="I63" s="79">
        <f t="shared" si="1"/>
        <v>1105500</v>
      </c>
    </row>
    <row r="64" spans="1:9" x14ac:dyDescent="0.25">
      <c r="A64" s="73" t="s">
        <v>43</v>
      </c>
      <c r="B64" s="74">
        <v>39</v>
      </c>
      <c r="C64" s="75">
        <v>5661</v>
      </c>
      <c r="D64" s="76">
        <v>5910</v>
      </c>
      <c r="E64" s="75">
        <v>1640</v>
      </c>
      <c r="F64" s="77">
        <v>0</v>
      </c>
      <c r="G64" s="76">
        <f t="shared" si="0"/>
        <v>13211</v>
      </c>
      <c r="H64" s="85">
        <v>500</v>
      </c>
      <c r="I64" s="79">
        <f t="shared" si="1"/>
        <v>6605500</v>
      </c>
    </row>
    <row r="65" spans="1:9" x14ac:dyDescent="0.25">
      <c r="A65" s="73" t="s">
        <v>43</v>
      </c>
      <c r="B65" s="74">
        <v>40</v>
      </c>
      <c r="C65" s="75">
        <v>2707</v>
      </c>
      <c r="D65" s="76">
        <v>1352</v>
      </c>
      <c r="E65" s="75">
        <v>1040</v>
      </c>
      <c r="F65" s="77">
        <v>0</v>
      </c>
      <c r="G65" s="76">
        <f t="shared" si="0"/>
        <v>5099</v>
      </c>
      <c r="H65" s="85">
        <v>500</v>
      </c>
      <c r="I65" s="79">
        <f t="shared" si="1"/>
        <v>2549500</v>
      </c>
    </row>
    <row r="66" spans="1:9" x14ac:dyDescent="0.25">
      <c r="A66" s="73" t="s">
        <v>43</v>
      </c>
      <c r="B66" s="74">
        <v>41</v>
      </c>
      <c r="C66" s="75">
        <v>2160</v>
      </c>
      <c r="D66" s="76">
        <v>4280</v>
      </c>
      <c r="E66" s="75">
        <v>800</v>
      </c>
      <c r="F66" s="77">
        <v>0</v>
      </c>
      <c r="G66" s="76">
        <f t="shared" si="0"/>
        <v>7240</v>
      </c>
      <c r="H66" s="85">
        <v>500</v>
      </c>
      <c r="I66" s="79">
        <f t="shared" si="1"/>
        <v>3620000</v>
      </c>
    </row>
    <row r="67" spans="1:9" x14ac:dyDescent="0.25">
      <c r="A67" s="73" t="s">
        <v>43</v>
      </c>
      <c r="B67" s="74">
        <v>42</v>
      </c>
      <c r="C67" s="75">
        <v>1120</v>
      </c>
      <c r="D67" s="76">
        <v>1684</v>
      </c>
      <c r="E67" s="75">
        <v>800</v>
      </c>
      <c r="F67" s="77">
        <v>0</v>
      </c>
      <c r="G67" s="76">
        <f t="shared" si="0"/>
        <v>3604</v>
      </c>
      <c r="H67" s="85">
        <v>500</v>
      </c>
      <c r="I67" s="79">
        <f t="shared" si="1"/>
        <v>1802000</v>
      </c>
    </row>
    <row r="68" spans="1:9" x14ac:dyDescent="0.25">
      <c r="A68" s="73" t="s">
        <v>43</v>
      </c>
      <c r="B68" s="74">
        <v>43</v>
      </c>
      <c r="C68" s="75">
        <v>3513</v>
      </c>
      <c r="D68" s="76">
        <v>0</v>
      </c>
      <c r="E68" s="75">
        <v>0</v>
      </c>
      <c r="F68" s="77">
        <v>0</v>
      </c>
      <c r="G68" s="76">
        <f t="shared" si="0"/>
        <v>3513</v>
      </c>
      <c r="H68" s="85">
        <v>500</v>
      </c>
      <c r="I68" s="79">
        <f t="shared" si="1"/>
        <v>1756500</v>
      </c>
    </row>
    <row r="69" spans="1:9" x14ac:dyDescent="0.25">
      <c r="A69" s="73" t="s">
        <v>43</v>
      </c>
      <c r="B69" s="74">
        <v>44</v>
      </c>
      <c r="C69" s="75">
        <v>1495</v>
      </c>
      <c r="D69" s="76">
        <v>0</v>
      </c>
      <c r="E69" s="75">
        <v>0</v>
      </c>
      <c r="F69" s="77">
        <v>0</v>
      </c>
      <c r="G69" s="76">
        <f t="shared" si="0"/>
        <v>1495</v>
      </c>
      <c r="H69" s="85">
        <v>500</v>
      </c>
      <c r="I69" s="79">
        <f t="shared" si="1"/>
        <v>747500</v>
      </c>
    </row>
    <row r="70" spans="1:9" x14ac:dyDescent="0.25">
      <c r="A70" s="73" t="s">
        <v>43</v>
      </c>
      <c r="B70" s="74">
        <v>45</v>
      </c>
      <c r="C70" s="75">
        <v>495</v>
      </c>
      <c r="D70" s="76">
        <v>0</v>
      </c>
      <c r="E70" s="75">
        <v>0</v>
      </c>
      <c r="F70" s="77">
        <v>0</v>
      </c>
      <c r="G70" s="76">
        <f t="shared" si="0"/>
        <v>495</v>
      </c>
      <c r="H70" s="85">
        <v>500</v>
      </c>
      <c r="I70" s="79">
        <f t="shared" si="1"/>
        <v>247500</v>
      </c>
    </row>
    <row r="71" spans="1:9" x14ac:dyDescent="0.25">
      <c r="A71" s="73" t="s">
        <v>43</v>
      </c>
      <c r="B71" s="74">
        <v>46</v>
      </c>
      <c r="C71" s="75">
        <v>81</v>
      </c>
      <c r="D71" s="76">
        <v>0</v>
      </c>
      <c r="E71" s="75">
        <v>0</v>
      </c>
      <c r="F71" s="77">
        <v>0</v>
      </c>
      <c r="G71" s="76">
        <f t="shared" si="0"/>
        <v>81</v>
      </c>
      <c r="H71" s="85">
        <v>500</v>
      </c>
      <c r="I71" s="79">
        <f t="shared" si="1"/>
        <v>40500</v>
      </c>
    </row>
    <row r="72" spans="1:9" x14ac:dyDescent="0.25">
      <c r="A72" s="73" t="s">
        <v>44</v>
      </c>
      <c r="B72" s="74">
        <v>5</v>
      </c>
      <c r="C72" s="75">
        <v>20993</v>
      </c>
      <c r="D72" s="76">
        <v>0</v>
      </c>
      <c r="E72" s="75">
        <v>0</v>
      </c>
      <c r="F72" s="77">
        <v>0</v>
      </c>
      <c r="G72" s="76">
        <v>21053</v>
      </c>
      <c r="H72" s="81">
        <v>30.48</v>
      </c>
      <c r="I72" s="79">
        <f t="shared" si="1"/>
        <v>641695.44000000006</v>
      </c>
    </row>
    <row r="73" spans="1:9" x14ac:dyDescent="0.25">
      <c r="A73" s="73" t="s">
        <v>44</v>
      </c>
      <c r="B73" s="74">
        <v>6</v>
      </c>
      <c r="C73" s="75">
        <v>2429</v>
      </c>
      <c r="D73" s="76">
        <v>0</v>
      </c>
      <c r="E73" s="75">
        <v>0</v>
      </c>
      <c r="F73" s="77">
        <v>0</v>
      </c>
      <c r="G73" s="76">
        <f t="shared" si="0"/>
        <v>2429</v>
      </c>
      <c r="H73" s="81">
        <v>30.48</v>
      </c>
      <c r="I73" s="79">
        <f t="shared" si="1"/>
        <v>74035.92</v>
      </c>
    </row>
    <row r="74" spans="1:9" x14ac:dyDescent="0.25">
      <c r="A74" s="73" t="s">
        <v>44</v>
      </c>
      <c r="B74" s="74">
        <v>7</v>
      </c>
      <c r="C74" s="75">
        <v>62040</v>
      </c>
      <c r="D74" s="76">
        <v>0</v>
      </c>
      <c r="E74" s="75">
        <v>0</v>
      </c>
      <c r="F74" s="77">
        <v>0</v>
      </c>
      <c r="G74" s="76">
        <f t="shared" si="0"/>
        <v>62040</v>
      </c>
      <c r="H74" s="81">
        <v>30.48</v>
      </c>
      <c r="I74" s="79">
        <f t="shared" si="1"/>
        <v>1890979.2</v>
      </c>
    </row>
    <row r="75" spans="1:9" x14ac:dyDescent="0.25">
      <c r="A75" s="73" t="s">
        <v>44</v>
      </c>
      <c r="B75" s="74">
        <v>8</v>
      </c>
      <c r="C75" s="75">
        <v>117940</v>
      </c>
      <c r="D75" s="76">
        <v>0</v>
      </c>
      <c r="E75" s="75">
        <v>0</v>
      </c>
      <c r="F75" s="77">
        <v>0</v>
      </c>
      <c r="G75" s="76">
        <f t="shared" ref="G75:G79" si="2">+C75+D75+E75+F75</f>
        <v>117940</v>
      </c>
      <c r="H75" s="81">
        <v>31.41</v>
      </c>
      <c r="I75" s="79">
        <f t="shared" ref="I75:I79" si="3">+G75*H75</f>
        <v>3704495.4</v>
      </c>
    </row>
    <row r="76" spans="1:9" x14ac:dyDescent="0.25">
      <c r="A76" s="73" t="s">
        <v>44</v>
      </c>
      <c r="B76" s="74">
        <v>9</v>
      </c>
      <c r="C76" s="75">
        <v>55931</v>
      </c>
      <c r="D76" s="76">
        <v>0</v>
      </c>
      <c r="E76" s="75">
        <v>0</v>
      </c>
      <c r="F76" s="77">
        <v>0</v>
      </c>
      <c r="G76" s="76">
        <f t="shared" si="2"/>
        <v>55931</v>
      </c>
      <c r="H76" s="81">
        <v>31.41</v>
      </c>
      <c r="I76" s="79">
        <f t="shared" si="3"/>
        <v>1756792.71</v>
      </c>
    </row>
    <row r="77" spans="1:9" x14ac:dyDescent="0.25">
      <c r="A77" s="73" t="s">
        <v>44</v>
      </c>
      <c r="B77" s="74">
        <v>10</v>
      </c>
      <c r="C77" s="75">
        <v>5</v>
      </c>
      <c r="D77" s="76">
        <v>0</v>
      </c>
      <c r="E77" s="75">
        <v>0</v>
      </c>
      <c r="F77" s="77">
        <v>0</v>
      </c>
      <c r="G77" s="76">
        <f t="shared" si="2"/>
        <v>5</v>
      </c>
      <c r="H77" s="81">
        <v>31.41</v>
      </c>
      <c r="I77" s="79">
        <f t="shared" si="3"/>
        <v>157.05000000000001</v>
      </c>
    </row>
    <row r="78" spans="1:9" x14ac:dyDescent="0.25">
      <c r="A78" s="73" t="s">
        <v>45</v>
      </c>
      <c r="B78" s="74" t="s">
        <v>46</v>
      </c>
      <c r="C78" s="75">
        <v>194</v>
      </c>
      <c r="D78" s="76">
        <v>995</v>
      </c>
      <c r="E78" s="75">
        <v>0</v>
      </c>
      <c r="F78" s="77">
        <v>0</v>
      </c>
      <c r="G78" s="76">
        <f t="shared" si="2"/>
        <v>1189</v>
      </c>
      <c r="H78" s="85">
        <v>436.6</v>
      </c>
      <c r="I78" s="79">
        <f t="shared" si="3"/>
        <v>519117.4</v>
      </c>
    </row>
    <row r="79" spans="1:9" ht="15.75" thickBot="1" x14ac:dyDescent="0.3">
      <c r="A79" s="90" t="s">
        <v>45</v>
      </c>
      <c r="B79" s="91" t="s">
        <v>47</v>
      </c>
      <c r="C79" s="92">
        <v>987</v>
      </c>
      <c r="D79" s="93">
        <v>30851</v>
      </c>
      <c r="E79" s="92">
        <v>29496</v>
      </c>
      <c r="F79" s="93">
        <v>0</v>
      </c>
      <c r="G79" s="93">
        <f t="shared" si="2"/>
        <v>61334</v>
      </c>
      <c r="H79" s="94">
        <v>394.65</v>
      </c>
      <c r="I79" s="95">
        <f t="shared" si="3"/>
        <v>24205463.099999998</v>
      </c>
    </row>
    <row r="80" spans="1:9" ht="15.75" thickBot="1" x14ac:dyDescent="0.3">
      <c r="I80" s="96">
        <f>SUM(I11:I79)</f>
        <v>259581556.61999997</v>
      </c>
    </row>
    <row r="81" spans="2:9" ht="15.75" thickTop="1" x14ac:dyDescent="0.25"/>
    <row r="82" spans="2:9" ht="16.5" thickBot="1" x14ac:dyDescent="0.3">
      <c r="B82" s="114" t="s">
        <v>48</v>
      </c>
      <c r="C82" s="114"/>
      <c r="D82" s="114"/>
    </row>
    <row r="83" spans="2:9" x14ac:dyDescent="0.25">
      <c r="B83" s="106" t="s">
        <v>49</v>
      </c>
      <c r="C83" s="108" t="s">
        <v>50</v>
      </c>
      <c r="D83" s="110" t="s">
        <v>51</v>
      </c>
    </row>
    <row r="84" spans="2:9" ht="15.75" thickBot="1" x14ac:dyDescent="0.3">
      <c r="B84" s="107"/>
      <c r="C84" s="109"/>
      <c r="D84" s="111"/>
    </row>
    <row r="85" spans="2:9" x14ac:dyDescent="0.25">
      <c r="B85" s="97" t="s">
        <v>52</v>
      </c>
      <c r="C85" s="185">
        <f>+G11+G13+G14+G15+G16+G17+G22+G12+G21+G18+G19+G20</f>
        <v>292161</v>
      </c>
      <c r="D85" s="98">
        <f>+I11+I13+I14+I15+I16+I17+I22+I12+I21+I18+I19+I20</f>
        <v>91338293.430000007</v>
      </c>
    </row>
    <row r="86" spans="2:9" x14ac:dyDescent="0.25">
      <c r="B86" s="99" t="s">
        <v>53</v>
      </c>
      <c r="C86" s="186">
        <f>+G24+G25+G26+G27+G28+G29+G31+G23+G30+G32+G33</f>
        <v>88166</v>
      </c>
      <c r="D86" s="100">
        <f>+I24+I25+I26+I27+I28+I29+I31+I30+I23+I32+I33</f>
        <v>14423027.969999999</v>
      </c>
    </row>
    <row r="87" spans="2:9" x14ac:dyDescent="0.25">
      <c r="B87" s="99" t="s">
        <v>54</v>
      </c>
      <c r="C87" s="186">
        <f>+G34+G35+G36+G37+G38+G39+G40+G41+G42+G43+G44+G45+G46+G47+G48+G49+G50+G51</f>
        <v>147442</v>
      </c>
      <c r="D87" s="100">
        <f>+I34+I35+I36+I37+I38+I39+I40+I41+I42+I43+I44+I45+I46+I47+I48++I49+I50+I51</f>
        <v>73593511</v>
      </c>
    </row>
    <row r="88" spans="2:9" x14ac:dyDescent="0.25">
      <c r="B88" s="99" t="s">
        <v>55</v>
      </c>
      <c r="C88" s="186">
        <f>+G52+G53+G54+G55+G56+G57+G58+G59+G60+G61+G62+G63+G64+G65+G66+G67+G68+G69+G70+G71</f>
        <v>97078</v>
      </c>
      <c r="D88" s="100">
        <f>+I52+I53+I54+I55+I56+I57+I58+I59+I60+I61+I62+I63+I64++I65+I66+I67+I68+I69+I70+I71</f>
        <v>47433988</v>
      </c>
    </row>
    <row r="89" spans="2:9" x14ac:dyDescent="0.25">
      <c r="B89" s="101" t="s">
        <v>56</v>
      </c>
      <c r="C89" s="187">
        <f>SUM(C87:C88)</f>
        <v>244520</v>
      </c>
      <c r="D89" s="100">
        <f>SUM(D87:D88)</f>
        <v>121027499</v>
      </c>
    </row>
    <row r="90" spans="2:9" x14ac:dyDescent="0.25">
      <c r="B90" s="99" t="s">
        <v>57</v>
      </c>
      <c r="C90" s="186">
        <f>+G72+G73+G74+G75+G76+G77</f>
        <v>259398</v>
      </c>
      <c r="D90" s="100">
        <f>+I72+I73+I74+I75+I76+I77</f>
        <v>8068155.7199999997</v>
      </c>
    </row>
    <row r="91" spans="2:9" x14ac:dyDescent="0.25">
      <c r="B91" s="99" t="s">
        <v>58</v>
      </c>
      <c r="C91" s="186">
        <f>+G78</f>
        <v>1189</v>
      </c>
      <c r="D91" s="100">
        <f>+I78</f>
        <v>519117.4</v>
      </c>
      <c r="I91" s="102"/>
    </row>
    <row r="92" spans="2:9" ht="15.75" thickBot="1" x14ac:dyDescent="0.3">
      <c r="B92" s="103" t="s">
        <v>59</v>
      </c>
      <c r="C92" s="188">
        <f>+G79</f>
        <v>61334</v>
      </c>
      <c r="D92" s="104">
        <f>+I79</f>
        <v>24205463.099999998</v>
      </c>
    </row>
    <row r="93" spans="2:9" ht="15.75" thickBot="1" x14ac:dyDescent="0.3">
      <c r="D93" s="105">
        <f>+D85+D86+D89+D90+D91+D92</f>
        <v>259581556.62</v>
      </c>
    </row>
    <row r="94" spans="2:9" ht="15.75" thickTop="1" x14ac:dyDescent="0.25"/>
  </sheetData>
  <mergeCells count="8">
    <mergeCell ref="B83:B84"/>
    <mergeCell ref="C83:C84"/>
    <mergeCell ref="D83:D84"/>
    <mergeCell ref="A6:G6"/>
    <mergeCell ref="A7:G7"/>
    <mergeCell ref="A8:G8"/>
    <mergeCell ref="A9:G9"/>
    <mergeCell ref="B82:D8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7"/>
  <sheetViews>
    <sheetView workbookViewId="0">
      <pane ySplit="13" topLeftCell="A128" activePane="bottomLeft" state="frozen"/>
      <selection pane="bottomLeft" activeCell="H20" sqref="H20"/>
    </sheetView>
  </sheetViews>
  <sheetFormatPr defaultColWidth="11.42578125" defaultRowHeight="18" customHeight="1" x14ac:dyDescent="0.2"/>
  <cols>
    <col min="1" max="1" width="2.7109375" style="2" customWidth="1"/>
    <col min="2" max="2" width="4.42578125" style="2" customWidth="1"/>
    <col min="3" max="3" width="32.28515625" style="39" customWidth="1"/>
    <col min="4" max="4" width="55.28515625" style="40" customWidth="1"/>
    <col min="5" max="5" width="13.42578125" style="40" customWidth="1"/>
    <col min="6" max="6" width="14.85546875" style="2" customWidth="1"/>
    <col min="7" max="7" width="2.42578125" style="2" hidden="1" customWidth="1"/>
    <col min="8" max="8" width="14.5703125" style="2" bestFit="1" customWidth="1"/>
    <col min="9" max="227" width="11.42578125" style="2"/>
    <col min="228" max="228" width="20.7109375" style="2" customWidth="1"/>
    <col min="229" max="229" width="22.7109375" style="2" customWidth="1"/>
    <col min="230" max="230" width="30.7109375" style="2" customWidth="1"/>
    <col min="231" max="232" width="10.7109375" style="2" customWidth="1"/>
    <col min="233" max="483" width="11.42578125" style="2"/>
    <col min="484" max="484" width="20.7109375" style="2" customWidth="1"/>
    <col min="485" max="485" width="22.7109375" style="2" customWidth="1"/>
    <col min="486" max="486" width="30.7109375" style="2" customWidth="1"/>
    <col min="487" max="488" width="10.7109375" style="2" customWidth="1"/>
    <col min="489" max="739" width="11.42578125" style="2"/>
    <col min="740" max="740" width="20.7109375" style="2" customWidth="1"/>
    <col min="741" max="741" width="22.7109375" style="2" customWidth="1"/>
    <col min="742" max="742" width="30.7109375" style="2" customWidth="1"/>
    <col min="743" max="744" width="10.7109375" style="2" customWidth="1"/>
    <col min="745" max="995" width="11.42578125" style="2"/>
    <col min="996" max="996" width="20.7109375" style="2" customWidth="1"/>
    <col min="997" max="997" width="22.7109375" style="2" customWidth="1"/>
    <col min="998" max="998" width="30.7109375" style="2" customWidth="1"/>
    <col min="999" max="1000" width="10.7109375" style="2" customWidth="1"/>
    <col min="1001" max="1251" width="11.42578125" style="2"/>
    <col min="1252" max="1252" width="20.7109375" style="2" customWidth="1"/>
    <col min="1253" max="1253" width="22.7109375" style="2" customWidth="1"/>
    <col min="1254" max="1254" width="30.7109375" style="2" customWidth="1"/>
    <col min="1255" max="1256" width="10.7109375" style="2" customWidth="1"/>
    <col min="1257" max="1507" width="11.42578125" style="2"/>
    <col min="1508" max="1508" width="20.7109375" style="2" customWidth="1"/>
    <col min="1509" max="1509" width="22.7109375" style="2" customWidth="1"/>
    <col min="1510" max="1510" width="30.7109375" style="2" customWidth="1"/>
    <col min="1511" max="1512" width="10.7109375" style="2" customWidth="1"/>
    <col min="1513" max="1763" width="11.42578125" style="2"/>
    <col min="1764" max="1764" width="20.7109375" style="2" customWidth="1"/>
    <col min="1765" max="1765" width="22.7109375" style="2" customWidth="1"/>
    <col min="1766" max="1766" width="30.7109375" style="2" customWidth="1"/>
    <col min="1767" max="1768" width="10.7109375" style="2" customWidth="1"/>
    <col min="1769" max="2019" width="11.42578125" style="2"/>
    <col min="2020" max="2020" width="20.7109375" style="2" customWidth="1"/>
    <col min="2021" max="2021" width="22.7109375" style="2" customWidth="1"/>
    <col min="2022" max="2022" width="30.7109375" style="2" customWidth="1"/>
    <col min="2023" max="2024" width="10.7109375" style="2" customWidth="1"/>
    <col min="2025" max="2275" width="11.42578125" style="2"/>
    <col min="2276" max="2276" width="20.7109375" style="2" customWidth="1"/>
    <col min="2277" max="2277" width="22.7109375" style="2" customWidth="1"/>
    <col min="2278" max="2278" width="30.7109375" style="2" customWidth="1"/>
    <col min="2279" max="2280" width="10.7109375" style="2" customWidth="1"/>
    <col min="2281" max="2531" width="11.42578125" style="2"/>
    <col min="2532" max="2532" width="20.7109375" style="2" customWidth="1"/>
    <col min="2533" max="2533" width="22.7109375" style="2" customWidth="1"/>
    <col min="2534" max="2534" width="30.7109375" style="2" customWidth="1"/>
    <col min="2535" max="2536" width="10.7109375" style="2" customWidth="1"/>
    <col min="2537" max="2787" width="11.42578125" style="2"/>
    <col min="2788" max="2788" width="20.7109375" style="2" customWidth="1"/>
    <col min="2789" max="2789" width="22.7109375" style="2" customWidth="1"/>
    <col min="2790" max="2790" width="30.7109375" style="2" customWidth="1"/>
    <col min="2791" max="2792" width="10.7109375" style="2" customWidth="1"/>
    <col min="2793" max="3043" width="11.42578125" style="2"/>
    <col min="3044" max="3044" width="20.7109375" style="2" customWidth="1"/>
    <col min="3045" max="3045" width="22.7109375" style="2" customWidth="1"/>
    <col min="3046" max="3046" width="30.7109375" style="2" customWidth="1"/>
    <col min="3047" max="3048" width="10.7109375" style="2" customWidth="1"/>
    <col min="3049" max="3299" width="11.42578125" style="2"/>
    <col min="3300" max="3300" width="20.7109375" style="2" customWidth="1"/>
    <col min="3301" max="3301" width="22.7109375" style="2" customWidth="1"/>
    <col min="3302" max="3302" width="30.7109375" style="2" customWidth="1"/>
    <col min="3303" max="3304" width="10.7109375" style="2" customWidth="1"/>
    <col min="3305" max="3555" width="11.42578125" style="2"/>
    <col min="3556" max="3556" width="20.7109375" style="2" customWidth="1"/>
    <col min="3557" max="3557" width="22.7109375" style="2" customWidth="1"/>
    <col min="3558" max="3558" width="30.7109375" style="2" customWidth="1"/>
    <col min="3559" max="3560" width="10.7109375" style="2" customWidth="1"/>
    <col min="3561" max="3811" width="11.42578125" style="2"/>
    <col min="3812" max="3812" width="20.7109375" style="2" customWidth="1"/>
    <col min="3813" max="3813" width="22.7109375" style="2" customWidth="1"/>
    <col min="3814" max="3814" width="30.7109375" style="2" customWidth="1"/>
    <col min="3815" max="3816" width="10.7109375" style="2" customWidth="1"/>
    <col min="3817" max="4067" width="11.42578125" style="2"/>
    <col min="4068" max="4068" width="20.7109375" style="2" customWidth="1"/>
    <col min="4069" max="4069" width="22.7109375" style="2" customWidth="1"/>
    <col min="4070" max="4070" width="30.7109375" style="2" customWidth="1"/>
    <col min="4071" max="4072" width="10.7109375" style="2" customWidth="1"/>
    <col min="4073" max="4323" width="11.42578125" style="2"/>
    <col min="4324" max="4324" width="20.7109375" style="2" customWidth="1"/>
    <col min="4325" max="4325" width="22.7109375" style="2" customWidth="1"/>
    <col min="4326" max="4326" width="30.7109375" style="2" customWidth="1"/>
    <col min="4327" max="4328" width="10.7109375" style="2" customWidth="1"/>
    <col min="4329" max="4579" width="11.42578125" style="2"/>
    <col min="4580" max="4580" width="20.7109375" style="2" customWidth="1"/>
    <col min="4581" max="4581" width="22.7109375" style="2" customWidth="1"/>
    <col min="4582" max="4582" width="30.7109375" style="2" customWidth="1"/>
    <col min="4583" max="4584" width="10.7109375" style="2" customWidth="1"/>
    <col min="4585" max="4835" width="11.42578125" style="2"/>
    <col min="4836" max="4836" width="20.7109375" style="2" customWidth="1"/>
    <col min="4837" max="4837" width="22.7109375" style="2" customWidth="1"/>
    <col min="4838" max="4838" width="30.7109375" style="2" customWidth="1"/>
    <col min="4839" max="4840" width="10.7109375" style="2" customWidth="1"/>
    <col min="4841" max="5091" width="11.42578125" style="2"/>
    <col min="5092" max="5092" width="20.7109375" style="2" customWidth="1"/>
    <col min="5093" max="5093" width="22.7109375" style="2" customWidth="1"/>
    <col min="5094" max="5094" width="30.7109375" style="2" customWidth="1"/>
    <col min="5095" max="5096" width="10.7109375" style="2" customWidth="1"/>
    <col min="5097" max="5347" width="11.42578125" style="2"/>
    <col min="5348" max="5348" width="20.7109375" style="2" customWidth="1"/>
    <col min="5349" max="5349" width="22.7109375" style="2" customWidth="1"/>
    <col min="5350" max="5350" width="30.7109375" style="2" customWidth="1"/>
    <col min="5351" max="5352" width="10.7109375" style="2" customWidth="1"/>
    <col min="5353" max="5603" width="11.42578125" style="2"/>
    <col min="5604" max="5604" width="20.7109375" style="2" customWidth="1"/>
    <col min="5605" max="5605" width="22.7109375" style="2" customWidth="1"/>
    <col min="5606" max="5606" width="30.7109375" style="2" customWidth="1"/>
    <col min="5607" max="5608" width="10.7109375" style="2" customWidth="1"/>
    <col min="5609" max="5859" width="11.42578125" style="2"/>
    <col min="5860" max="5860" width="20.7109375" style="2" customWidth="1"/>
    <col min="5861" max="5861" width="22.7109375" style="2" customWidth="1"/>
    <col min="5862" max="5862" width="30.7109375" style="2" customWidth="1"/>
    <col min="5863" max="5864" width="10.7109375" style="2" customWidth="1"/>
    <col min="5865" max="6115" width="11.42578125" style="2"/>
    <col min="6116" max="6116" width="20.7109375" style="2" customWidth="1"/>
    <col min="6117" max="6117" width="22.7109375" style="2" customWidth="1"/>
    <col min="6118" max="6118" width="30.7109375" style="2" customWidth="1"/>
    <col min="6119" max="6120" width="10.7109375" style="2" customWidth="1"/>
    <col min="6121" max="6371" width="11.42578125" style="2"/>
    <col min="6372" max="6372" width="20.7109375" style="2" customWidth="1"/>
    <col min="6373" max="6373" width="22.7109375" style="2" customWidth="1"/>
    <col min="6374" max="6374" width="30.7109375" style="2" customWidth="1"/>
    <col min="6375" max="6376" width="10.7109375" style="2" customWidth="1"/>
    <col min="6377" max="6627" width="11.42578125" style="2"/>
    <col min="6628" max="6628" width="20.7109375" style="2" customWidth="1"/>
    <col min="6629" max="6629" width="22.7109375" style="2" customWidth="1"/>
    <col min="6630" max="6630" width="30.7109375" style="2" customWidth="1"/>
    <col min="6631" max="6632" width="10.7109375" style="2" customWidth="1"/>
    <col min="6633" max="6883" width="11.42578125" style="2"/>
    <col min="6884" max="6884" width="20.7109375" style="2" customWidth="1"/>
    <col min="6885" max="6885" width="22.7109375" style="2" customWidth="1"/>
    <col min="6886" max="6886" width="30.7109375" style="2" customWidth="1"/>
    <col min="6887" max="6888" width="10.7109375" style="2" customWidth="1"/>
    <col min="6889" max="7139" width="11.42578125" style="2"/>
    <col min="7140" max="7140" width="20.7109375" style="2" customWidth="1"/>
    <col min="7141" max="7141" width="22.7109375" style="2" customWidth="1"/>
    <col min="7142" max="7142" width="30.7109375" style="2" customWidth="1"/>
    <col min="7143" max="7144" width="10.7109375" style="2" customWidth="1"/>
    <col min="7145" max="7395" width="11.42578125" style="2"/>
    <col min="7396" max="7396" width="20.7109375" style="2" customWidth="1"/>
    <col min="7397" max="7397" width="22.7109375" style="2" customWidth="1"/>
    <col min="7398" max="7398" width="30.7109375" style="2" customWidth="1"/>
    <col min="7399" max="7400" width="10.7109375" style="2" customWidth="1"/>
    <col min="7401" max="7651" width="11.42578125" style="2"/>
    <col min="7652" max="7652" width="20.7109375" style="2" customWidth="1"/>
    <col min="7653" max="7653" width="22.7109375" style="2" customWidth="1"/>
    <col min="7654" max="7654" width="30.7109375" style="2" customWidth="1"/>
    <col min="7655" max="7656" width="10.7109375" style="2" customWidth="1"/>
    <col min="7657" max="7907" width="11.42578125" style="2"/>
    <col min="7908" max="7908" width="20.7109375" style="2" customWidth="1"/>
    <col min="7909" max="7909" width="22.7109375" style="2" customWidth="1"/>
    <col min="7910" max="7910" width="30.7109375" style="2" customWidth="1"/>
    <col min="7911" max="7912" width="10.7109375" style="2" customWidth="1"/>
    <col min="7913" max="8163" width="11.42578125" style="2"/>
    <col min="8164" max="8164" width="20.7109375" style="2" customWidth="1"/>
    <col min="8165" max="8165" width="22.7109375" style="2" customWidth="1"/>
    <col min="8166" max="8166" width="30.7109375" style="2" customWidth="1"/>
    <col min="8167" max="8168" width="10.7109375" style="2" customWidth="1"/>
    <col min="8169" max="8419" width="11.42578125" style="2"/>
    <col min="8420" max="8420" width="20.7109375" style="2" customWidth="1"/>
    <col min="8421" max="8421" width="22.7109375" style="2" customWidth="1"/>
    <col min="8422" max="8422" width="30.7109375" style="2" customWidth="1"/>
    <col min="8423" max="8424" width="10.7109375" style="2" customWidth="1"/>
    <col min="8425" max="8675" width="11.42578125" style="2"/>
    <col min="8676" max="8676" width="20.7109375" style="2" customWidth="1"/>
    <col min="8677" max="8677" width="22.7109375" style="2" customWidth="1"/>
    <col min="8678" max="8678" width="30.7109375" style="2" customWidth="1"/>
    <col min="8679" max="8680" width="10.7109375" style="2" customWidth="1"/>
    <col min="8681" max="8931" width="11.42578125" style="2"/>
    <col min="8932" max="8932" width="20.7109375" style="2" customWidth="1"/>
    <col min="8933" max="8933" width="22.7109375" style="2" customWidth="1"/>
    <col min="8934" max="8934" width="30.7109375" style="2" customWidth="1"/>
    <col min="8935" max="8936" width="10.7109375" style="2" customWidth="1"/>
    <col min="8937" max="9187" width="11.42578125" style="2"/>
    <col min="9188" max="9188" width="20.7109375" style="2" customWidth="1"/>
    <col min="9189" max="9189" width="22.7109375" style="2" customWidth="1"/>
    <col min="9190" max="9190" width="30.7109375" style="2" customWidth="1"/>
    <col min="9191" max="9192" width="10.7109375" style="2" customWidth="1"/>
    <col min="9193" max="9443" width="11.42578125" style="2"/>
    <col min="9444" max="9444" width="20.7109375" style="2" customWidth="1"/>
    <col min="9445" max="9445" width="22.7109375" style="2" customWidth="1"/>
    <col min="9446" max="9446" width="30.7109375" style="2" customWidth="1"/>
    <col min="9447" max="9448" width="10.7109375" style="2" customWidth="1"/>
    <col min="9449" max="9699" width="11.42578125" style="2"/>
    <col min="9700" max="9700" width="20.7109375" style="2" customWidth="1"/>
    <col min="9701" max="9701" width="22.7109375" style="2" customWidth="1"/>
    <col min="9702" max="9702" width="30.7109375" style="2" customWidth="1"/>
    <col min="9703" max="9704" width="10.7109375" style="2" customWidth="1"/>
    <col min="9705" max="9955" width="11.42578125" style="2"/>
    <col min="9956" max="9956" width="20.7109375" style="2" customWidth="1"/>
    <col min="9957" max="9957" width="22.7109375" style="2" customWidth="1"/>
    <col min="9958" max="9958" width="30.7109375" style="2" customWidth="1"/>
    <col min="9959" max="9960" width="10.7109375" style="2" customWidth="1"/>
    <col min="9961" max="10211" width="11.42578125" style="2"/>
    <col min="10212" max="10212" width="20.7109375" style="2" customWidth="1"/>
    <col min="10213" max="10213" width="22.7109375" style="2" customWidth="1"/>
    <col min="10214" max="10214" width="30.7109375" style="2" customWidth="1"/>
    <col min="10215" max="10216" width="10.7109375" style="2" customWidth="1"/>
    <col min="10217" max="10467" width="11.42578125" style="2"/>
    <col min="10468" max="10468" width="20.7109375" style="2" customWidth="1"/>
    <col min="10469" max="10469" width="22.7109375" style="2" customWidth="1"/>
    <col min="10470" max="10470" width="30.7109375" style="2" customWidth="1"/>
    <col min="10471" max="10472" width="10.7109375" style="2" customWidth="1"/>
    <col min="10473" max="10723" width="11.42578125" style="2"/>
    <col min="10724" max="10724" width="20.7109375" style="2" customWidth="1"/>
    <col min="10725" max="10725" width="22.7109375" style="2" customWidth="1"/>
    <col min="10726" max="10726" width="30.7109375" style="2" customWidth="1"/>
    <col min="10727" max="10728" width="10.7109375" style="2" customWidth="1"/>
    <col min="10729" max="10979" width="11.42578125" style="2"/>
    <col min="10980" max="10980" width="20.7109375" style="2" customWidth="1"/>
    <col min="10981" max="10981" width="22.7109375" style="2" customWidth="1"/>
    <col min="10982" max="10982" width="30.7109375" style="2" customWidth="1"/>
    <col min="10983" max="10984" width="10.7109375" style="2" customWidth="1"/>
    <col min="10985" max="11235" width="11.42578125" style="2"/>
    <col min="11236" max="11236" width="20.7109375" style="2" customWidth="1"/>
    <col min="11237" max="11237" width="22.7109375" style="2" customWidth="1"/>
    <col min="11238" max="11238" width="30.7109375" style="2" customWidth="1"/>
    <col min="11239" max="11240" width="10.7109375" style="2" customWidth="1"/>
    <col min="11241" max="11491" width="11.42578125" style="2"/>
    <col min="11492" max="11492" width="20.7109375" style="2" customWidth="1"/>
    <col min="11493" max="11493" width="22.7109375" style="2" customWidth="1"/>
    <col min="11494" max="11494" width="30.7109375" style="2" customWidth="1"/>
    <col min="11495" max="11496" width="10.7109375" style="2" customWidth="1"/>
    <col min="11497" max="11747" width="11.42578125" style="2"/>
    <col min="11748" max="11748" width="20.7109375" style="2" customWidth="1"/>
    <col min="11749" max="11749" width="22.7109375" style="2" customWidth="1"/>
    <col min="11750" max="11750" width="30.7109375" style="2" customWidth="1"/>
    <col min="11751" max="11752" width="10.7109375" style="2" customWidth="1"/>
    <col min="11753" max="12003" width="11.42578125" style="2"/>
    <col min="12004" max="12004" width="20.7109375" style="2" customWidth="1"/>
    <col min="12005" max="12005" width="22.7109375" style="2" customWidth="1"/>
    <col min="12006" max="12006" width="30.7109375" style="2" customWidth="1"/>
    <col min="12007" max="12008" width="10.7109375" style="2" customWidth="1"/>
    <col min="12009" max="12259" width="11.42578125" style="2"/>
    <col min="12260" max="12260" width="20.7109375" style="2" customWidth="1"/>
    <col min="12261" max="12261" width="22.7109375" style="2" customWidth="1"/>
    <col min="12262" max="12262" width="30.7109375" style="2" customWidth="1"/>
    <col min="12263" max="12264" width="10.7109375" style="2" customWidth="1"/>
    <col min="12265" max="12515" width="11.42578125" style="2"/>
    <col min="12516" max="12516" width="20.7109375" style="2" customWidth="1"/>
    <col min="12517" max="12517" width="22.7109375" style="2" customWidth="1"/>
    <col min="12518" max="12518" width="30.7109375" style="2" customWidth="1"/>
    <col min="12519" max="12520" width="10.7109375" style="2" customWidth="1"/>
    <col min="12521" max="12771" width="11.42578125" style="2"/>
    <col min="12772" max="12772" width="20.7109375" style="2" customWidth="1"/>
    <col min="12773" max="12773" width="22.7109375" style="2" customWidth="1"/>
    <col min="12774" max="12774" width="30.7109375" style="2" customWidth="1"/>
    <col min="12775" max="12776" width="10.7109375" style="2" customWidth="1"/>
    <col min="12777" max="13027" width="11.42578125" style="2"/>
    <col min="13028" max="13028" width="20.7109375" style="2" customWidth="1"/>
    <col min="13029" max="13029" width="22.7109375" style="2" customWidth="1"/>
    <col min="13030" max="13030" width="30.7109375" style="2" customWidth="1"/>
    <col min="13031" max="13032" width="10.7109375" style="2" customWidth="1"/>
    <col min="13033" max="13283" width="11.42578125" style="2"/>
    <col min="13284" max="13284" width="20.7109375" style="2" customWidth="1"/>
    <col min="13285" max="13285" width="22.7109375" style="2" customWidth="1"/>
    <col min="13286" max="13286" width="30.7109375" style="2" customWidth="1"/>
    <col min="13287" max="13288" width="10.7109375" style="2" customWidth="1"/>
    <col min="13289" max="13539" width="11.42578125" style="2"/>
    <col min="13540" max="13540" width="20.7109375" style="2" customWidth="1"/>
    <col min="13541" max="13541" width="22.7109375" style="2" customWidth="1"/>
    <col min="13542" max="13542" width="30.7109375" style="2" customWidth="1"/>
    <col min="13543" max="13544" width="10.7109375" style="2" customWidth="1"/>
    <col min="13545" max="13795" width="11.42578125" style="2"/>
    <col min="13796" max="13796" width="20.7109375" style="2" customWidth="1"/>
    <col min="13797" max="13797" width="22.7109375" style="2" customWidth="1"/>
    <col min="13798" max="13798" width="30.7109375" style="2" customWidth="1"/>
    <col min="13799" max="13800" width="10.7109375" style="2" customWidth="1"/>
    <col min="13801" max="14051" width="11.42578125" style="2"/>
    <col min="14052" max="14052" width="20.7109375" style="2" customWidth="1"/>
    <col min="14053" max="14053" width="22.7109375" style="2" customWidth="1"/>
    <col min="14054" max="14054" width="30.7109375" style="2" customWidth="1"/>
    <col min="14055" max="14056" width="10.7109375" style="2" customWidth="1"/>
    <col min="14057" max="14307" width="11.42578125" style="2"/>
    <col min="14308" max="14308" width="20.7109375" style="2" customWidth="1"/>
    <col min="14309" max="14309" width="22.7109375" style="2" customWidth="1"/>
    <col min="14310" max="14310" width="30.7109375" style="2" customWidth="1"/>
    <col min="14311" max="14312" width="10.7109375" style="2" customWidth="1"/>
    <col min="14313" max="14563" width="11.42578125" style="2"/>
    <col min="14564" max="14564" width="20.7109375" style="2" customWidth="1"/>
    <col min="14565" max="14565" width="22.7109375" style="2" customWidth="1"/>
    <col min="14566" max="14566" width="30.7109375" style="2" customWidth="1"/>
    <col min="14567" max="14568" width="10.7109375" style="2" customWidth="1"/>
    <col min="14569" max="14819" width="11.42578125" style="2"/>
    <col min="14820" max="14820" width="20.7109375" style="2" customWidth="1"/>
    <col min="14821" max="14821" width="22.7109375" style="2" customWidth="1"/>
    <col min="14822" max="14822" width="30.7109375" style="2" customWidth="1"/>
    <col min="14823" max="14824" width="10.7109375" style="2" customWidth="1"/>
    <col min="14825" max="15075" width="11.42578125" style="2"/>
    <col min="15076" max="15076" width="20.7109375" style="2" customWidth="1"/>
    <col min="15077" max="15077" width="22.7109375" style="2" customWidth="1"/>
    <col min="15078" max="15078" width="30.7109375" style="2" customWidth="1"/>
    <col min="15079" max="15080" width="10.7109375" style="2" customWidth="1"/>
    <col min="15081" max="15331" width="11.42578125" style="2"/>
    <col min="15332" max="15332" width="20.7109375" style="2" customWidth="1"/>
    <col min="15333" max="15333" width="22.7109375" style="2" customWidth="1"/>
    <col min="15334" max="15334" width="30.7109375" style="2" customWidth="1"/>
    <col min="15335" max="15336" width="10.7109375" style="2" customWidth="1"/>
    <col min="15337" max="15587" width="11.42578125" style="2"/>
    <col min="15588" max="15588" width="20.7109375" style="2" customWidth="1"/>
    <col min="15589" max="15589" width="22.7109375" style="2" customWidth="1"/>
    <col min="15590" max="15590" width="30.7109375" style="2" customWidth="1"/>
    <col min="15591" max="15592" width="10.7109375" style="2" customWidth="1"/>
    <col min="15593" max="15843" width="11.42578125" style="2"/>
    <col min="15844" max="15844" width="20.7109375" style="2" customWidth="1"/>
    <col min="15845" max="15845" width="22.7109375" style="2" customWidth="1"/>
    <col min="15846" max="15846" width="30.7109375" style="2" customWidth="1"/>
    <col min="15847" max="15848" width="10.7109375" style="2" customWidth="1"/>
    <col min="15849" max="16099" width="11.42578125" style="2"/>
    <col min="16100" max="16100" width="20.7109375" style="2" customWidth="1"/>
    <col min="16101" max="16101" width="22.7109375" style="2" customWidth="1"/>
    <col min="16102" max="16102" width="30.7109375" style="2" customWidth="1"/>
    <col min="16103" max="16104" width="10.7109375" style="2" customWidth="1"/>
    <col min="16105" max="16384" width="11.42578125" style="2"/>
  </cols>
  <sheetData>
    <row r="3" spans="2:10" ht="18" customHeight="1" x14ac:dyDescent="0.2">
      <c r="B3" s="1"/>
      <c r="C3" s="116"/>
      <c r="D3" s="116"/>
      <c r="E3" s="116"/>
      <c r="F3" s="116"/>
    </row>
    <row r="4" spans="2:10" ht="18" customHeight="1" x14ac:dyDescent="0.2">
      <c r="B4" s="1"/>
      <c r="C4" s="117" t="s">
        <v>0</v>
      </c>
      <c r="D4" s="117"/>
      <c r="E4" s="117"/>
      <c r="F4" s="117"/>
    </row>
    <row r="5" spans="2:10" ht="18" customHeight="1" x14ac:dyDescent="0.2">
      <c r="B5" s="1"/>
      <c r="C5" s="116" t="s">
        <v>1</v>
      </c>
      <c r="D5" s="116"/>
      <c r="E5" s="116"/>
      <c r="F5" s="116"/>
    </row>
    <row r="6" spans="2:10" ht="18" customHeight="1" thickBot="1" x14ac:dyDescent="0.25">
      <c r="B6" s="118" t="s">
        <v>61</v>
      </c>
      <c r="C6" s="118"/>
      <c r="D6" s="118"/>
      <c r="E6" s="118"/>
      <c r="F6" s="118"/>
    </row>
    <row r="7" spans="2:10" ht="21" customHeight="1" x14ac:dyDescent="0.2">
      <c r="B7" s="119" t="s">
        <v>2</v>
      </c>
      <c r="C7" s="119"/>
      <c r="D7" s="120"/>
      <c r="E7" s="3" t="s">
        <v>3</v>
      </c>
      <c r="F7" s="4"/>
      <c r="G7" s="5"/>
      <c r="H7" s="5"/>
      <c r="I7" s="5"/>
      <c r="J7" s="5"/>
    </row>
    <row r="8" spans="2:10" ht="9" customHeight="1" x14ac:dyDescent="0.2">
      <c r="B8" s="5"/>
      <c r="C8" s="115"/>
      <c r="D8" s="115"/>
      <c r="E8" s="6" t="s">
        <v>4</v>
      </c>
      <c r="F8" s="7"/>
      <c r="G8" s="5"/>
      <c r="H8" s="5"/>
      <c r="I8" s="5"/>
      <c r="J8" s="5"/>
    </row>
    <row r="9" spans="2:10" s="13" customFormat="1" ht="14.25" customHeight="1" thickBot="1" x14ac:dyDescent="0.25">
      <c r="B9" s="8" t="s">
        <v>5</v>
      </c>
      <c r="C9" s="8"/>
      <c r="D9" s="9"/>
      <c r="E9" s="10" t="s">
        <v>6</v>
      </c>
      <c r="F9" s="11"/>
      <c r="G9" s="12"/>
      <c r="H9" s="12"/>
      <c r="I9" s="12"/>
      <c r="J9" s="12"/>
    </row>
    <row r="10" spans="2:10" s="13" customFormat="1" ht="13.5" customHeight="1" x14ac:dyDescent="0.2">
      <c r="B10" s="14" t="s">
        <v>7</v>
      </c>
      <c r="C10" s="15"/>
      <c r="D10" s="16"/>
      <c r="E10" s="17"/>
      <c r="F10" s="18"/>
      <c r="G10" s="12"/>
      <c r="H10" s="12"/>
      <c r="I10" s="12"/>
      <c r="J10" s="12"/>
    </row>
    <row r="11" spans="2:10" s="19" customFormat="1" ht="22.5" customHeight="1" thickBot="1" x14ac:dyDescent="0.3">
      <c r="E11" s="122" t="s">
        <v>8</v>
      </c>
      <c r="F11" s="122"/>
    </row>
    <row r="12" spans="2:10" s="21" customFormat="1" ht="13.9" customHeight="1" x14ac:dyDescent="0.25">
      <c r="B12" s="123" t="s">
        <v>9</v>
      </c>
      <c r="C12" s="125" t="s">
        <v>10</v>
      </c>
      <c r="D12" s="127" t="s">
        <v>11</v>
      </c>
      <c r="E12" s="129" t="s">
        <v>12</v>
      </c>
      <c r="F12" s="130"/>
      <c r="G12" s="51"/>
      <c r="H12" s="52" t="s">
        <v>12</v>
      </c>
      <c r="I12" s="20"/>
      <c r="J12" s="20"/>
    </row>
    <row r="13" spans="2:10" s="22" customFormat="1" ht="25.9" customHeight="1" thickBot="1" x14ac:dyDescent="0.3">
      <c r="B13" s="124"/>
      <c r="C13" s="126"/>
      <c r="D13" s="128"/>
      <c r="E13" s="53" t="s">
        <v>24</v>
      </c>
      <c r="F13" s="54" t="s">
        <v>25</v>
      </c>
      <c r="G13" s="55"/>
      <c r="H13" s="153" t="s">
        <v>26</v>
      </c>
      <c r="I13" s="5"/>
      <c r="J13" s="5"/>
    </row>
    <row r="14" spans="2:10" ht="15" customHeight="1" x14ac:dyDescent="0.25">
      <c r="B14" s="147" t="s">
        <v>63</v>
      </c>
      <c r="C14" s="148" t="s">
        <v>733</v>
      </c>
      <c r="D14" s="149" t="s">
        <v>734</v>
      </c>
      <c r="E14" s="166" t="s">
        <v>66</v>
      </c>
      <c r="F14" s="167">
        <v>202.64</v>
      </c>
      <c r="G14" s="168">
        <f>+E14*F14</f>
        <v>405.28</v>
      </c>
      <c r="H14" s="169">
        <f>+E14*F14</f>
        <v>405.28</v>
      </c>
    </row>
    <row r="15" spans="2:10" ht="15" customHeight="1" x14ac:dyDescent="0.25">
      <c r="B15" s="147" t="s">
        <v>66</v>
      </c>
      <c r="C15" s="146" t="s">
        <v>735</v>
      </c>
      <c r="D15" s="146" t="s">
        <v>736</v>
      </c>
      <c r="E15" s="166"/>
      <c r="F15" s="167"/>
      <c r="G15" s="168" t="s">
        <v>737</v>
      </c>
      <c r="H15" s="169">
        <f t="shared" ref="H15:H78" si="0">+E15*F15</f>
        <v>0</v>
      </c>
    </row>
    <row r="16" spans="2:10" ht="15" customHeight="1" x14ac:dyDescent="0.25">
      <c r="B16" s="147" t="s">
        <v>69</v>
      </c>
      <c r="C16" s="156" t="s">
        <v>738</v>
      </c>
      <c r="D16" s="157" t="s">
        <v>739</v>
      </c>
      <c r="E16" s="166" t="s">
        <v>346</v>
      </c>
      <c r="F16" s="167">
        <v>104</v>
      </c>
      <c r="G16" s="168">
        <f t="shared" ref="G16:G77" si="1">+E16*F16</f>
        <v>12480</v>
      </c>
      <c r="H16" s="169">
        <f t="shared" si="0"/>
        <v>12480</v>
      </c>
    </row>
    <row r="17" spans="2:9" ht="15" customHeight="1" x14ac:dyDescent="0.25">
      <c r="B17" s="147" t="s">
        <v>71</v>
      </c>
      <c r="C17" s="156" t="s">
        <v>738</v>
      </c>
      <c r="D17" s="149" t="s">
        <v>740</v>
      </c>
      <c r="E17" s="166" t="s">
        <v>157</v>
      </c>
      <c r="F17" s="167">
        <v>54</v>
      </c>
      <c r="G17" s="168">
        <f t="shared" si="1"/>
        <v>2160</v>
      </c>
      <c r="H17" s="169">
        <f t="shared" si="0"/>
        <v>2160</v>
      </c>
      <c r="I17" s="2" t="s">
        <v>741</v>
      </c>
    </row>
    <row r="18" spans="2:9" ht="15" customHeight="1" x14ac:dyDescent="0.25">
      <c r="B18" s="147" t="s">
        <v>74</v>
      </c>
      <c r="C18" s="157" t="s">
        <v>742</v>
      </c>
      <c r="D18" s="157" t="s">
        <v>743</v>
      </c>
      <c r="E18" s="166"/>
      <c r="F18" s="167"/>
      <c r="G18" s="168" t="s">
        <v>737</v>
      </c>
      <c r="H18" s="169">
        <f t="shared" si="0"/>
        <v>0</v>
      </c>
    </row>
    <row r="19" spans="2:9" ht="15" customHeight="1" x14ac:dyDescent="0.25">
      <c r="B19" s="147" t="s">
        <v>77</v>
      </c>
      <c r="C19" s="157" t="s">
        <v>744</v>
      </c>
      <c r="D19" s="157" t="s">
        <v>745</v>
      </c>
      <c r="E19" s="166"/>
      <c r="F19" s="167"/>
      <c r="G19" s="168" t="s">
        <v>737</v>
      </c>
      <c r="H19" s="169">
        <f t="shared" si="0"/>
        <v>0</v>
      </c>
    </row>
    <row r="20" spans="2:9" ht="15" customHeight="1" x14ac:dyDescent="0.25">
      <c r="B20" s="147" t="s">
        <v>80</v>
      </c>
      <c r="C20" s="156" t="s">
        <v>746</v>
      </c>
      <c r="D20" s="149" t="s">
        <v>747</v>
      </c>
      <c r="E20" s="166">
        <f>33+104</f>
        <v>137</v>
      </c>
      <c r="F20" s="167">
        <v>118</v>
      </c>
      <c r="G20" s="168">
        <f t="shared" si="1"/>
        <v>16166</v>
      </c>
      <c r="H20" s="169">
        <f t="shared" si="0"/>
        <v>16166</v>
      </c>
    </row>
    <row r="21" spans="2:9" ht="15" customHeight="1" x14ac:dyDescent="0.25">
      <c r="B21" s="147" t="s">
        <v>82</v>
      </c>
      <c r="C21" s="156" t="s">
        <v>746</v>
      </c>
      <c r="D21" s="149" t="s">
        <v>748</v>
      </c>
      <c r="E21" s="166"/>
      <c r="F21" s="167"/>
      <c r="G21" s="168" t="s">
        <v>737</v>
      </c>
      <c r="H21" s="169">
        <f t="shared" si="0"/>
        <v>0</v>
      </c>
    </row>
    <row r="22" spans="2:9" ht="15" customHeight="1" x14ac:dyDescent="0.25">
      <c r="B22" s="147" t="s">
        <v>85</v>
      </c>
      <c r="C22" s="156" t="s">
        <v>749</v>
      </c>
      <c r="D22" s="149" t="s">
        <v>750</v>
      </c>
      <c r="E22" s="166"/>
      <c r="F22" s="167"/>
      <c r="G22" s="168" t="s">
        <v>737</v>
      </c>
      <c r="H22" s="169">
        <f t="shared" si="0"/>
        <v>0</v>
      </c>
    </row>
    <row r="23" spans="2:9" ht="15" customHeight="1" x14ac:dyDescent="0.25">
      <c r="B23" s="147" t="s">
        <v>88</v>
      </c>
      <c r="C23" s="157" t="s">
        <v>751</v>
      </c>
      <c r="D23" s="149" t="s">
        <v>752</v>
      </c>
      <c r="E23" s="166"/>
      <c r="F23" s="167"/>
      <c r="G23" s="168" t="s">
        <v>737</v>
      </c>
      <c r="H23" s="169">
        <f t="shared" si="0"/>
        <v>0</v>
      </c>
    </row>
    <row r="24" spans="2:9" ht="15" customHeight="1" x14ac:dyDescent="0.25">
      <c r="B24" s="147" t="s">
        <v>91</v>
      </c>
      <c r="C24" s="156" t="s">
        <v>753</v>
      </c>
      <c r="D24" s="157" t="s">
        <v>754</v>
      </c>
      <c r="E24" s="166" t="s">
        <v>124</v>
      </c>
      <c r="F24" s="167">
        <v>119</v>
      </c>
      <c r="G24" s="168">
        <f t="shared" si="1"/>
        <v>2856</v>
      </c>
      <c r="H24" s="169">
        <f t="shared" si="0"/>
        <v>2856</v>
      </c>
    </row>
    <row r="25" spans="2:9" ht="15" customHeight="1" x14ac:dyDescent="0.25">
      <c r="B25" s="147" t="s">
        <v>94</v>
      </c>
      <c r="C25" s="156" t="s">
        <v>755</v>
      </c>
      <c r="D25" s="149" t="s">
        <v>756</v>
      </c>
      <c r="E25" s="166">
        <f>2+3</f>
        <v>5</v>
      </c>
      <c r="F25" s="167">
        <v>336.02</v>
      </c>
      <c r="G25" s="168">
        <f t="shared" si="1"/>
        <v>1680.1</v>
      </c>
      <c r="H25" s="169">
        <f t="shared" si="0"/>
        <v>1680.1</v>
      </c>
    </row>
    <row r="26" spans="2:9" ht="15" customHeight="1" x14ac:dyDescent="0.25">
      <c r="B26" s="147" t="s">
        <v>96</v>
      </c>
      <c r="C26" s="156" t="s">
        <v>757</v>
      </c>
      <c r="D26" s="149" t="s">
        <v>758</v>
      </c>
      <c r="E26" s="166">
        <v>102</v>
      </c>
      <c r="F26" s="167"/>
      <c r="G26" s="168">
        <f t="shared" si="1"/>
        <v>0</v>
      </c>
      <c r="H26" s="169">
        <f t="shared" si="0"/>
        <v>0</v>
      </c>
    </row>
    <row r="27" spans="2:9" ht="15" customHeight="1" x14ac:dyDescent="0.25">
      <c r="B27" s="147" t="s">
        <v>99</v>
      </c>
      <c r="C27" s="156" t="s">
        <v>757</v>
      </c>
      <c r="D27" s="149" t="s">
        <v>759</v>
      </c>
      <c r="E27" s="166">
        <v>27</v>
      </c>
      <c r="F27" s="167"/>
      <c r="G27" s="168">
        <f t="shared" si="1"/>
        <v>0</v>
      </c>
      <c r="H27" s="169">
        <f t="shared" si="0"/>
        <v>0</v>
      </c>
    </row>
    <row r="28" spans="2:9" ht="15" customHeight="1" x14ac:dyDescent="0.25">
      <c r="B28" s="147" t="s">
        <v>102</v>
      </c>
      <c r="C28" s="156" t="s">
        <v>755</v>
      </c>
      <c r="D28" s="149" t="s">
        <v>760</v>
      </c>
      <c r="E28" s="166"/>
      <c r="F28" s="167"/>
      <c r="G28" s="168" t="s">
        <v>737</v>
      </c>
      <c r="H28" s="169">
        <f t="shared" si="0"/>
        <v>0</v>
      </c>
    </row>
    <row r="29" spans="2:9" ht="15" customHeight="1" x14ac:dyDescent="0.25">
      <c r="B29" s="147" t="s">
        <v>105</v>
      </c>
      <c r="C29" s="156" t="s">
        <v>761</v>
      </c>
      <c r="D29" s="149" t="s">
        <v>762</v>
      </c>
      <c r="E29" s="166"/>
      <c r="F29" s="167"/>
      <c r="G29" s="168" t="s">
        <v>737</v>
      </c>
      <c r="H29" s="169">
        <f t="shared" si="0"/>
        <v>0</v>
      </c>
    </row>
    <row r="30" spans="2:9" ht="15" customHeight="1" x14ac:dyDescent="0.25">
      <c r="B30" s="147" t="s">
        <v>107</v>
      </c>
      <c r="C30" s="156" t="s">
        <v>763</v>
      </c>
      <c r="D30" s="149" t="s">
        <v>764</v>
      </c>
      <c r="E30" s="166"/>
      <c r="F30" s="167"/>
      <c r="G30" s="168" t="s">
        <v>737</v>
      </c>
      <c r="H30" s="169">
        <f t="shared" si="0"/>
        <v>0</v>
      </c>
    </row>
    <row r="31" spans="2:9" ht="15" customHeight="1" x14ac:dyDescent="0.25">
      <c r="B31" s="147" t="s">
        <v>109</v>
      </c>
      <c r="C31" s="156" t="s">
        <v>765</v>
      </c>
      <c r="D31" s="157" t="s">
        <v>766</v>
      </c>
      <c r="E31" s="166" t="s">
        <v>343</v>
      </c>
      <c r="F31" s="167">
        <v>189.99</v>
      </c>
      <c r="G31" s="168">
        <f t="shared" si="1"/>
        <v>22608.81</v>
      </c>
      <c r="H31" s="169">
        <f t="shared" si="0"/>
        <v>22608.81</v>
      </c>
    </row>
    <row r="32" spans="2:9" ht="15" customHeight="1" x14ac:dyDescent="0.25">
      <c r="B32" s="147" t="s">
        <v>111</v>
      </c>
      <c r="C32" s="156" t="s">
        <v>767</v>
      </c>
      <c r="D32" s="157" t="s">
        <v>768</v>
      </c>
      <c r="E32" s="166"/>
      <c r="F32" s="167"/>
      <c r="G32" s="168" t="s">
        <v>737</v>
      </c>
      <c r="H32" s="169">
        <f t="shared" si="0"/>
        <v>0</v>
      </c>
    </row>
    <row r="33" spans="2:8" ht="15" customHeight="1" x14ac:dyDescent="0.25">
      <c r="B33" s="147" t="s">
        <v>114</v>
      </c>
      <c r="C33" s="156" t="s">
        <v>769</v>
      </c>
      <c r="D33" s="157" t="s">
        <v>770</v>
      </c>
      <c r="E33" s="166">
        <v>284</v>
      </c>
      <c r="F33" s="167">
        <v>245</v>
      </c>
      <c r="G33" s="168">
        <f t="shared" si="1"/>
        <v>69580</v>
      </c>
      <c r="H33" s="169">
        <f t="shared" si="0"/>
        <v>69580</v>
      </c>
    </row>
    <row r="34" spans="2:8" ht="15" customHeight="1" x14ac:dyDescent="0.25">
      <c r="B34" s="147" t="s">
        <v>117</v>
      </c>
      <c r="C34" s="156" t="s">
        <v>769</v>
      </c>
      <c r="D34" s="157" t="s">
        <v>771</v>
      </c>
      <c r="E34" s="166">
        <v>510</v>
      </c>
      <c r="F34" s="167">
        <v>195</v>
      </c>
      <c r="G34" s="168">
        <f t="shared" si="1"/>
        <v>99450</v>
      </c>
      <c r="H34" s="169">
        <f t="shared" si="0"/>
        <v>99450</v>
      </c>
    </row>
    <row r="35" spans="2:8" ht="15" customHeight="1" x14ac:dyDescent="0.25">
      <c r="B35" s="147" t="s">
        <v>119</v>
      </c>
      <c r="C35" s="156" t="s">
        <v>769</v>
      </c>
      <c r="D35" s="157" t="s">
        <v>772</v>
      </c>
      <c r="E35" s="166">
        <v>320</v>
      </c>
      <c r="F35" s="167">
        <v>315</v>
      </c>
      <c r="G35" s="168">
        <f t="shared" si="1"/>
        <v>100800</v>
      </c>
      <c r="H35" s="169">
        <f t="shared" si="0"/>
        <v>100800</v>
      </c>
    </row>
    <row r="36" spans="2:8" ht="15" customHeight="1" x14ac:dyDescent="0.25">
      <c r="B36" s="147" t="s">
        <v>121</v>
      </c>
      <c r="C36" s="156" t="s">
        <v>769</v>
      </c>
      <c r="D36" s="157" t="s">
        <v>773</v>
      </c>
      <c r="E36" s="166">
        <v>243</v>
      </c>
      <c r="F36" s="167">
        <v>400</v>
      </c>
      <c r="G36" s="168">
        <f t="shared" si="1"/>
        <v>97200</v>
      </c>
      <c r="H36" s="169">
        <f t="shared" si="0"/>
        <v>97200</v>
      </c>
    </row>
    <row r="37" spans="2:8" ht="15" customHeight="1" x14ac:dyDescent="0.25">
      <c r="B37" s="147" t="s">
        <v>124</v>
      </c>
      <c r="C37" s="156" t="s">
        <v>769</v>
      </c>
      <c r="D37" s="157" t="s">
        <v>774</v>
      </c>
      <c r="E37" s="166">
        <v>1</v>
      </c>
      <c r="F37" s="167">
        <v>4602</v>
      </c>
      <c r="G37" s="168">
        <f t="shared" si="1"/>
        <v>4602</v>
      </c>
      <c r="H37" s="169">
        <f t="shared" si="0"/>
        <v>4602</v>
      </c>
    </row>
    <row r="38" spans="2:8" ht="15" customHeight="1" x14ac:dyDescent="0.25">
      <c r="B38" s="147" t="s">
        <v>126</v>
      </c>
      <c r="C38" s="156" t="s">
        <v>769</v>
      </c>
      <c r="D38" s="157" t="s">
        <v>775</v>
      </c>
      <c r="E38" s="166">
        <v>1</v>
      </c>
      <c r="F38" s="167">
        <v>5310</v>
      </c>
      <c r="G38" s="168">
        <f t="shared" si="1"/>
        <v>5310</v>
      </c>
      <c r="H38" s="169">
        <f t="shared" si="0"/>
        <v>5310</v>
      </c>
    </row>
    <row r="39" spans="2:8" ht="15" customHeight="1" x14ac:dyDescent="0.25">
      <c r="B39" s="147" t="s">
        <v>128</v>
      </c>
      <c r="C39" s="156" t="s">
        <v>776</v>
      </c>
      <c r="D39" s="157" t="s">
        <v>777</v>
      </c>
      <c r="E39" s="166"/>
      <c r="F39" s="167"/>
      <c r="G39" s="168" t="s">
        <v>737</v>
      </c>
      <c r="H39" s="169">
        <f t="shared" si="0"/>
        <v>0</v>
      </c>
    </row>
    <row r="40" spans="2:8" ht="15" customHeight="1" x14ac:dyDescent="0.25">
      <c r="B40" s="147" t="s">
        <v>130</v>
      </c>
      <c r="C40" s="157" t="s">
        <v>778</v>
      </c>
      <c r="D40" s="157" t="s">
        <v>779</v>
      </c>
      <c r="E40" s="166" t="s">
        <v>66</v>
      </c>
      <c r="F40" s="167">
        <v>73</v>
      </c>
      <c r="G40" s="168">
        <f t="shared" si="1"/>
        <v>146</v>
      </c>
      <c r="H40" s="169">
        <f t="shared" si="0"/>
        <v>146</v>
      </c>
    </row>
    <row r="41" spans="2:8" ht="15" customHeight="1" x14ac:dyDescent="0.25">
      <c r="B41" s="147" t="s">
        <v>132</v>
      </c>
      <c r="C41" s="157" t="s">
        <v>780</v>
      </c>
      <c r="D41" s="157" t="s">
        <v>781</v>
      </c>
      <c r="E41" s="166"/>
      <c r="F41" s="167"/>
      <c r="G41" s="168" t="s">
        <v>737</v>
      </c>
      <c r="H41" s="169">
        <f t="shared" si="0"/>
        <v>0</v>
      </c>
    </row>
    <row r="42" spans="2:8" ht="15" customHeight="1" x14ac:dyDescent="0.25">
      <c r="B42" s="147" t="s">
        <v>135</v>
      </c>
      <c r="C42" s="157" t="s">
        <v>782</v>
      </c>
      <c r="D42" s="157" t="s">
        <v>783</v>
      </c>
      <c r="E42" s="166" t="s">
        <v>69</v>
      </c>
      <c r="F42" s="167">
        <v>3400</v>
      </c>
      <c r="G42" s="168">
        <f t="shared" si="1"/>
        <v>10200</v>
      </c>
      <c r="H42" s="169">
        <f t="shared" si="0"/>
        <v>10200</v>
      </c>
    </row>
    <row r="43" spans="2:8" ht="15" customHeight="1" x14ac:dyDescent="0.25">
      <c r="B43" s="147" t="s">
        <v>137</v>
      </c>
      <c r="C43" s="157" t="s">
        <v>782</v>
      </c>
      <c r="D43" s="157" t="s">
        <v>784</v>
      </c>
      <c r="E43" s="166">
        <v>27</v>
      </c>
      <c r="F43" s="167">
        <v>2700</v>
      </c>
      <c r="G43" s="168">
        <f t="shared" si="1"/>
        <v>72900</v>
      </c>
      <c r="H43" s="169">
        <f t="shared" si="0"/>
        <v>72900</v>
      </c>
    </row>
    <row r="44" spans="2:8" ht="15" customHeight="1" x14ac:dyDescent="0.25">
      <c r="B44" s="147" t="s">
        <v>139</v>
      </c>
      <c r="C44" s="156" t="s">
        <v>785</v>
      </c>
      <c r="D44" s="149" t="s">
        <v>781</v>
      </c>
      <c r="E44" s="166">
        <f>8+89</f>
        <v>97</v>
      </c>
      <c r="F44" s="167">
        <v>84.75</v>
      </c>
      <c r="G44" s="168">
        <f t="shared" si="1"/>
        <v>8220.75</v>
      </c>
      <c r="H44" s="169">
        <f t="shared" si="0"/>
        <v>8220.75</v>
      </c>
    </row>
    <row r="45" spans="2:8" ht="15" customHeight="1" x14ac:dyDescent="0.25">
      <c r="B45" s="147" t="s">
        <v>141</v>
      </c>
      <c r="C45" s="157" t="s">
        <v>786</v>
      </c>
      <c r="D45" s="149" t="s">
        <v>787</v>
      </c>
      <c r="E45" s="166">
        <f>23+108</f>
        <v>131</v>
      </c>
      <c r="F45" s="167">
        <v>200</v>
      </c>
      <c r="G45" s="168">
        <f t="shared" si="1"/>
        <v>26200</v>
      </c>
      <c r="H45" s="169">
        <f t="shared" si="0"/>
        <v>26200</v>
      </c>
    </row>
    <row r="46" spans="2:8" ht="15" customHeight="1" x14ac:dyDescent="0.25">
      <c r="B46" s="147" t="s">
        <v>143</v>
      </c>
      <c r="C46" s="157" t="s">
        <v>786</v>
      </c>
      <c r="D46" s="149" t="s">
        <v>788</v>
      </c>
      <c r="E46" s="166" t="s">
        <v>94</v>
      </c>
      <c r="F46" s="167">
        <v>59</v>
      </c>
      <c r="G46" s="168">
        <f t="shared" si="1"/>
        <v>708</v>
      </c>
      <c r="H46" s="169">
        <f t="shared" si="0"/>
        <v>708</v>
      </c>
    </row>
    <row r="47" spans="2:8" ht="15" customHeight="1" x14ac:dyDescent="0.25">
      <c r="B47" s="147" t="s">
        <v>145</v>
      </c>
      <c r="C47" s="157" t="s">
        <v>786</v>
      </c>
      <c r="D47" s="149" t="s">
        <v>789</v>
      </c>
      <c r="E47" s="166"/>
      <c r="F47" s="167"/>
      <c r="G47" s="168" t="s">
        <v>737</v>
      </c>
      <c r="H47" s="169">
        <f t="shared" si="0"/>
        <v>0</v>
      </c>
    </row>
    <row r="48" spans="2:8" ht="15" customHeight="1" x14ac:dyDescent="0.25">
      <c r="B48" s="147" t="s">
        <v>147</v>
      </c>
      <c r="C48" s="157" t="s">
        <v>786</v>
      </c>
      <c r="D48" s="149" t="s">
        <v>790</v>
      </c>
      <c r="E48" s="166">
        <f>54+60</f>
        <v>114</v>
      </c>
      <c r="F48" s="167">
        <v>158.9</v>
      </c>
      <c r="G48" s="168">
        <f t="shared" si="1"/>
        <v>18114.600000000002</v>
      </c>
      <c r="H48" s="169">
        <f t="shared" si="0"/>
        <v>18114.600000000002</v>
      </c>
    </row>
    <row r="49" spans="2:8" ht="15" customHeight="1" x14ac:dyDescent="0.25">
      <c r="B49" s="147" t="s">
        <v>149</v>
      </c>
      <c r="C49" s="156" t="s">
        <v>791</v>
      </c>
      <c r="D49" s="157" t="s">
        <v>792</v>
      </c>
      <c r="E49" s="166"/>
      <c r="F49" s="167"/>
      <c r="G49" s="168" t="s">
        <v>737</v>
      </c>
      <c r="H49" s="169">
        <f t="shared" si="0"/>
        <v>0</v>
      </c>
    </row>
    <row r="50" spans="2:8" ht="15" customHeight="1" x14ac:dyDescent="0.25">
      <c r="B50" s="147" t="s">
        <v>151</v>
      </c>
      <c r="C50" s="156" t="s">
        <v>791</v>
      </c>
      <c r="D50" s="149" t="s">
        <v>793</v>
      </c>
      <c r="E50" s="166">
        <v>2</v>
      </c>
      <c r="F50" s="167">
        <v>194</v>
      </c>
      <c r="G50" s="168">
        <f t="shared" si="1"/>
        <v>388</v>
      </c>
      <c r="H50" s="169">
        <f t="shared" si="0"/>
        <v>388</v>
      </c>
    </row>
    <row r="51" spans="2:8" ht="15" customHeight="1" x14ac:dyDescent="0.25">
      <c r="B51" s="147" t="s">
        <v>153</v>
      </c>
      <c r="C51" s="156" t="s">
        <v>791</v>
      </c>
      <c r="D51" s="149" t="s">
        <v>794</v>
      </c>
      <c r="E51" s="166">
        <v>426</v>
      </c>
      <c r="F51" s="167">
        <v>144</v>
      </c>
      <c r="G51" s="168">
        <f t="shared" si="1"/>
        <v>61344</v>
      </c>
      <c r="H51" s="169">
        <f t="shared" si="0"/>
        <v>61344</v>
      </c>
    </row>
    <row r="52" spans="2:8" ht="15" customHeight="1" x14ac:dyDescent="0.25">
      <c r="B52" s="147" t="s">
        <v>155</v>
      </c>
      <c r="C52" s="156" t="s">
        <v>791</v>
      </c>
      <c r="D52" s="149" t="s">
        <v>795</v>
      </c>
      <c r="E52" s="166">
        <f>5+50</f>
        <v>55</v>
      </c>
      <c r="F52" s="167">
        <v>110</v>
      </c>
      <c r="G52" s="168">
        <f t="shared" si="1"/>
        <v>6050</v>
      </c>
      <c r="H52" s="169">
        <f t="shared" si="0"/>
        <v>6050</v>
      </c>
    </row>
    <row r="53" spans="2:8" ht="15" customHeight="1" x14ac:dyDescent="0.25">
      <c r="B53" s="147" t="s">
        <v>157</v>
      </c>
      <c r="C53" s="157" t="s">
        <v>796</v>
      </c>
      <c r="D53" s="149" t="s">
        <v>797</v>
      </c>
      <c r="E53" s="166">
        <f>477+36</f>
        <v>513</v>
      </c>
      <c r="F53" s="167">
        <v>24</v>
      </c>
      <c r="G53" s="168">
        <f t="shared" si="1"/>
        <v>12312</v>
      </c>
      <c r="H53" s="169">
        <f t="shared" si="0"/>
        <v>12312</v>
      </c>
    </row>
    <row r="54" spans="2:8" ht="15" customHeight="1" x14ac:dyDescent="0.25">
      <c r="B54" s="147" t="s">
        <v>159</v>
      </c>
      <c r="C54" s="157" t="s">
        <v>796</v>
      </c>
      <c r="D54" s="149" t="s">
        <v>798</v>
      </c>
      <c r="E54" s="166"/>
      <c r="F54" s="167"/>
      <c r="G54" s="168" t="s">
        <v>737</v>
      </c>
      <c r="H54" s="169">
        <f t="shared" si="0"/>
        <v>0</v>
      </c>
    </row>
    <row r="55" spans="2:8" ht="15" customHeight="1" x14ac:dyDescent="0.25">
      <c r="B55" s="147" t="s">
        <v>161</v>
      </c>
      <c r="C55" s="157" t="s">
        <v>796</v>
      </c>
      <c r="D55" s="149" t="s">
        <v>799</v>
      </c>
      <c r="E55" s="166">
        <v>4</v>
      </c>
      <c r="F55" s="167">
        <v>25</v>
      </c>
      <c r="G55" s="168">
        <f t="shared" si="1"/>
        <v>100</v>
      </c>
      <c r="H55" s="169">
        <f t="shared" si="0"/>
        <v>100</v>
      </c>
    </row>
    <row r="56" spans="2:8" ht="15" customHeight="1" x14ac:dyDescent="0.25">
      <c r="B56" s="147" t="s">
        <v>163</v>
      </c>
      <c r="C56" s="157" t="s">
        <v>800</v>
      </c>
      <c r="D56" s="149" t="s">
        <v>801</v>
      </c>
      <c r="E56" s="166"/>
      <c r="F56" s="167"/>
      <c r="G56" s="168" t="s">
        <v>737</v>
      </c>
      <c r="H56" s="169">
        <f t="shared" si="0"/>
        <v>0</v>
      </c>
    </row>
    <row r="57" spans="2:8" ht="15" customHeight="1" x14ac:dyDescent="0.25">
      <c r="B57" s="147" t="s">
        <v>165</v>
      </c>
      <c r="C57" s="157" t="s">
        <v>802</v>
      </c>
      <c r="D57" s="157" t="s">
        <v>803</v>
      </c>
      <c r="E57" s="166">
        <f>461+39678</f>
        <v>40139</v>
      </c>
      <c r="F57" s="167">
        <v>90</v>
      </c>
      <c r="G57" s="168">
        <f t="shared" si="1"/>
        <v>3612510</v>
      </c>
      <c r="H57" s="169">
        <f t="shared" si="0"/>
        <v>3612510</v>
      </c>
    </row>
    <row r="58" spans="2:8" ht="15" customHeight="1" x14ac:dyDescent="0.25">
      <c r="B58" s="147" t="s">
        <v>167</v>
      </c>
      <c r="C58" s="156" t="s">
        <v>804</v>
      </c>
      <c r="D58" s="157" t="s">
        <v>805</v>
      </c>
      <c r="E58" s="166">
        <v>142</v>
      </c>
      <c r="F58" s="167">
        <v>55</v>
      </c>
      <c r="G58" s="168">
        <f t="shared" si="1"/>
        <v>7810</v>
      </c>
      <c r="H58" s="169">
        <f t="shared" si="0"/>
        <v>7810</v>
      </c>
    </row>
    <row r="59" spans="2:8" ht="15" customHeight="1" x14ac:dyDescent="0.25">
      <c r="B59" s="147" t="s">
        <v>169</v>
      </c>
      <c r="C59" s="157" t="s">
        <v>806</v>
      </c>
      <c r="D59" s="149" t="s">
        <v>807</v>
      </c>
      <c r="E59" s="166">
        <f>3+6</f>
        <v>9</v>
      </c>
      <c r="F59" s="167">
        <v>101.69</v>
      </c>
      <c r="G59" s="168">
        <f t="shared" si="1"/>
        <v>915.21</v>
      </c>
      <c r="H59" s="169">
        <f t="shared" si="0"/>
        <v>915.21</v>
      </c>
    </row>
    <row r="60" spans="2:8" ht="15" customHeight="1" x14ac:dyDescent="0.25">
      <c r="B60" s="147" t="s">
        <v>171</v>
      </c>
      <c r="C60" s="157" t="s">
        <v>806</v>
      </c>
      <c r="D60" s="150" t="s">
        <v>808</v>
      </c>
      <c r="E60" s="166">
        <v>20</v>
      </c>
      <c r="F60" s="167">
        <v>12.5</v>
      </c>
      <c r="G60" s="168">
        <f t="shared" si="1"/>
        <v>250</v>
      </c>
      <c r="H60" s="169">
        <f t="shared" si="0"/>
        <v>250</v>
      </c>
    </row>
    <row r="61" spans="2:8" ht="15" customHeight="1" x14ac:dyDescent="0.25">
      <c r="B61" s="147" t="s">
        <v>173</v>
      </c>
      <c r="C61" s="156" t="s">
        <v>806</v>
      </c>
      <c r="D61" s="149" t="s">
        <v>809</v>
      </c>
      <c r="E61" s="166">
        <v>7</v>
      </c>
      <c r="F61" s="167">
        <v>101.69</v>
      </c>
      <c r="G61" s="168">
        <f t="shared" si="1"/>
        <v>711.82999999999993</v>
      </c>
      <c r="H61" s="169">
        <f t="shared" si="0"/>
        <v>711.82999999999993</v>
      </c>
    </row>
    <row r="62" spans="2:8" ht="15" customHeight="1" x14ac:dyDescent="0.25">
      <c r="B62" s="147" t="s">
        <v>176</v>
      </c>
      <c r="C62" s="157" t="s">
        <v>810</v>
      </c>
      <c r="D62" s="157" t="s">
        <v>811</v>
      </c>
      <c r="E62" s="166"/>
      <c r="F62" s="167"/>
      <c r="G62" s="168" t="s">
        <v>737</v>
      </c>
      <c r="H62" s="169">
        <f t="shared" si="0"/>
        <v>0</v>
      </c>
    </row>
    <row r="63" spans="2:8" ht="15" customHeight="1" x14ac:dyDescent="0.25">
      <c r="B63" s="147" t="s">
        <v>178</v>
      </c>
      <c r="C63" s="157" t="s">
        <v>810</v>
      </c>
      <c r="D63" s="157" t="s">
        <v>812</v>
      </c>
      <c r="E63" s="166"/>
      <c r="F63" s="167"/>
      <c r="G63" s="168" t="s">
        <v>737</v>
      </c>
      <c r="H63" s="169">
        <f t="shared" si="0"/>
        <v>0</v>
      </c>
    </row>
    <row r="64" spans="2:8" ht="15" customHeight="1" x14ac:dyDescent="0.25">
      <c r="B64" s="147" t="s">
        <v>181</v>
      </c>
      <c r="C64" s="157" t="s">
        <v>810</v>
      </c>
      <c r="D64" s="157" t="s">
        <v>813</v>
      </c>
      <c r="E64" s="166"/>
      <c r="F64" s="167"/>
      <c r="G64" s="168" t="s">
        <v>737</v>
      </c>
      <c r="H64" s="169">
        <f t="shared" si="0"/>
        <v>0</v>
      </c>
    </row>
    <row r="65" spans="2:9" ht="15" customHeight="1" x14ac:dyDescent="0.25">
      <c r="B65" s="147" t="s">
        <v>183</v>
      </c>
      <c r="C65" s="156" t="s">
        <v>814</v>
      </c>
      <c r="D65" s="149" t="s">
        <v>815</v>
      </c>
      <c r="E65" s="166"/>
      <c r="F65" s="167"/>
      <c r="G65" s="168" t="s">
        <v>737</v>
      </c>
      <c r="H65" s="169">
        <f t="shared" si="0"/>
        <v>0</v>
      </c>
    </row>
    <row r="66" spans="2:9" ht="15" customHeight="1" x14ac:dyDescent="0.25">
      <c r="B66" s="147" t="s">
        <v>185</v>
      </c>
      <c r="C66" s="156" t="s">
        <v>264</v>
      </c>
      <c r="D66" s="149" t="s">
        <v>816</v>
      </c>
      <c r="E66" s="166"/>
      <c r="F66" s="167"/>
      <c r="G66" s="168" t="s">
        <v>737</v>
      </c>
      <c r="H66" s="169">
        <f t="shared" si="0"/>
        <v>0</v>
      </c>
    </row>
    <row r="67" spans="2:9" ht="15" customHeight="1" x14ac:dyDescent="0.25">
      <c r="B67" s="147" t="s">
        <v>187</v>
      </c>
      <c r="C67" s="156" t="s">
        <v>264</v>
      </c>
      <c r="D67" s="157" t="s">
        <v>817</v>
      </c>
      <c r="E67" s="166"/>
      <c r="F67" s="167"/>
      <c r="G67" s="168" t="s">
        <v>737</v>
      </c>
      <c r="H67" s="169">
        <f t="shared" si="0"/>
        <v>0</v>
      </c>
      <c r="I67" s="2" t="s">
        <v>818</v>
      </c>
    </row>
    <row r="68" spans="2:9" ht="15" customHeight="1" x14ac:dyDescent="0.25">
      <c r="B68" s="147" t="s">
        <v>189</v>
      </c>
      <c r="C68" s="156" t="s">
        <v>819</v>
      </c>
      <c r="D68" s="149" t="s">
        <v>101</v>
      </c>
      <c r="E68" s="166">
        <f>12+43</f>
        <v>55</v>
      </c>
      <c r="F68" s="167">
        <v>65</v>
      </c>
      <c r="G68" s="168">
        <f t="shared" si="1"/>
        <v>3575</v>
      </c>
      <c r="H68" s="169">
        <f t="shared" si="0"/>
        <v>3575</v>
      </c>
      <c r="I68" s="2" t="s">
        <v>820</v>
      </c>
    </row>
    <row r="69" spans="2:9" ht="15" customHeight="1" x14ac:dyDescent="0.25">
      <c r="B69" s="147" t="s">
        <v>191</v>
      </c>
      <c r="C69" s="156" t="s">
        <v>819</v>
      </c>
      <c r="D69" s="149" t="s">
        <v>821</v>
      </c>
      <c r="E69" s="166">
        <v>34</v>
      </c>
      <c r="F69" s="167"/>
      <c r="G69" s="168">
        <f t="shared" si="1"/>
        <v>0</v>
      </c>
      <c r="H69" s="169">
        <f t="shared" si="0"/>
        <v>0</v>
      </c>
    </row>
    <row r="70" spans="2:9" ht="15" customHeight="1" x14ac:dyDescent="0.25">
      <c r="B70" s="147" t="s">
        <v>193</v>
      </c>
      <c r="C70" s="156" t="s">
        <v>822</v>
      </c>
      <c r="D70" s="157" t="s">
        <v>823</v>
      </c>
      <c r="E70" s="166">
        <v>4</v>
      </c>
      <c r="F70" s="167">
        <v>120</v>
      </c>
      <c r="G70" s="168">
        <f t="shared" si="1"/>
        <v>480</v>
      </c>
      <c r="H70" s="169">
        <f t="shared" si="0"/>
        <v>480</v>
      </c>
    </row>
    <row r="71" spans="2:9" ht="15" customHeight="1" x14ac:dyDescent="0.25">
      <c r="B71" s="147" t="s">
        <v>196</v>
      </c>
      <c r="C71" s="156" t="s">
        <v>824</v>
      </c>
      <c r="D71" s="157" t="s">
        <v>825</v>
      </c>
      <c r="E71" s="166">
        <v>2</v>
      </c>
      <c r="F71" s="167">
        <v>551.69000000000005</v>
      </c>
      <c r="G71" s="168">
        <f t="shared" si="1"/>
        <v>1103.3800000000001</v>
      </c>
      <c r="H71" s="169">
        <f t="shared" si="0"/>
        <v>1103.3800000000001</v>
      </c>
    </row>
    <row r="72" spans="2:9" ht="15" customHeight="1" x14ac:dyDescent="0.25">
      <c r="B72" s="147" t="s">
        <v>198</v>
      </c>
      <c r="C72" s="156" t="s">
        <v>826</v>
      </c>
      <c r="D72" s="157" t="s">
        <v>827</v>
      </c>
      <c r="E72" s="166"/>
      <c r="F72" s="167"/>
      <c r="G72" s="168" t="s">
        <v>737</v>
      </c>
      <c r="H72" s="169">
        <f t="shared" si="0"/>
        <v>0</v>
      </c>
    </row>
    <row r="73" spans="2:9" ht="15" customHeight="1" x14ac:dyDescent="0.25">
      <c r="B73" s="147" t="s">
        <v>201</v>
      </c>
      <c r="C73" s="156" t="s">
        <v>826</v>
      </c>
      <c r="D73" s="157" t="s">
        <v>828</v>
      </c>
      <c r="E73" s="166">
        <v>1</v>
      </c>
      <c r="F73" s="167">
        <v>795</v>
      </c>
      <c r="G73" s="168">
        <f t="shared" si="1"/>
        <v>795</v>
      </c>
      <c r="H73" s="169">
        <f t="shared" si="0"/>
        <v>795</v>
      </c>
    </row>
    <row r="74" spans="2:9" ht="15" customHeight="1" x14ac:dyDescent="0.25">
      <c r="B74" s="147" t="s">
        <v>204</v>
      </c>
      <c r="C74" s="156" t="s">
        <v>826</v>
      </c>
      <c r="D74" s="157" t="s">
        <v>829</v>
      </c>
      <c r="E74" s="166">
        <v>1</v>
      </c>
      <c r="F74" s="167"/>
      <c r="G74" s="168">
        <f t="shared" si="1"/>
        <v>0</v>
      </c>
      <c r="H74" s="169">
        <f t="shared" si="0"/>
        <v>0</v>
      </c>
    </row>
    <row r="75" spans="2:9" ht="15" customHeight="1" x14ac:dyDescent="0.25">
      <c r="B75" s="147" t="s">
        <v>207</v>
      </c>
      <c r="C75" s="156" t="s">
        <v>830</v>
      </c>
      <c r="D75" s="157" t="s">
        <v>831</v>
      </c>
      <c r="E75" s="166"/>
      <c r="F75" s="167"/>
      <c r="G75" s="168" t="s">
        <v>737</v>
      </c>
      <c r="H75" s="169">
        <f t="shared" si="0"/>
        <v>0</v>
      </c>
    </row>
    <row r="76" spans="2:9" ht="15" customHeight="1" x14ac:dyDescent="0.25">
      <c r="B76" s="147" t="s">
        <v>209</v>
      </c>
      <c r="C76" s="156" t="s">
        <v>832</v>
      </c>
      <c r="D76" s="158" t="s">
        <v>833</v>
      </c>
      <c r="E76" s="166">
        <v>1699</v>
      </c>
      <c r="F76" s="167">
        <v>4</v>
      </c>
      <c r="G76" s="168">
        <f t="shared" si="1"/>
        <v>6796</v>
      </c>
      <c r="H76" s="169">
        <f t="shared" si="0"/>
        <v>6796</v>
      </c>
    </row>
    <row r="77" spans="2:9" ht="15" customHeight="1" x14ac:dyDescent="0.25">
      <c r="B77" s="147" t="s">
        <v>211</v>
      </c>
      <c r="C77" s="156" t="s">
        <v>832</v>
      </c>
      <c r="D77" s="158" t="s">
        <v>834</v>
      </c>
      <c r="E77" s="166">
        <v>2501</v>
      </c>
      <c r="F77" s="167">
        <v>4.5</v>
      </c>
      <c r="G77" s="168">
        <f t="shared" si="1"/>
        <v>11254.5</v>
      </c>
      <c r="H77" s="169">
        <f t="shared" si="0"/>
        <v>11254.5</v>
      </c>
    </row>
    <row r="78" spans="2:9" ht="15" customHeight="1" x14ac:dyDescent="0.25">
      <c r="B78" s="147" t="s">
        <v>213</v>
      </c>
      <c r="C78" s="156" t="s">
        <v>832</v>
      </c>
      <c r="D78" s="158" t="s">
        <v>835</v>
      </c>
      <c r="E78" s="166"/>
      <c r="F78" s="167"/>
      <c r="G78" s="168" t="s">
        <v>737</v>
      </c>
      <c r="H78" s="169">
        <f t="shared" si="0"/>
        <v>0</v>
      </c>
    </row>
    <row r="79" spans="2:9" ht="15" customHeight="1" x14ac:dyDescent="0.25">
      <c r="B79" s="147" t="s">
        <v>215</v>
      </c>
      <c r="C79" s="156" t="s">
        <v>832</v>
      </c>
      <c r="D79" s="149" t="s">
        <v>836</v>
      </c>
      <c r="E79" s="166"/>
      <c r="F79" s="167"/>
      <c r="G79" s="168" t="s">
        <v>737</v>
      </c>
      <c r="H79" s="169">
        <f t="shared" ref="H79:H142" si="2">+E79*F79</f>
        <v>0</v>
      </c>
    </row>
    <row r="80" spans="2:9" ht="15" customHeight="1" x14ac:dyDescent="0.25">
      <c r="B80" s="147" t="s">
        <v>217</v>
      </c>
      <c r="C80" s="156" t="s">
        <v>837</v>
      </c>
      <c r="D80" s="149" t="s">
        <v>838</v>
      </c>
      <c r="E80" s="166">
        <f>6+55</f>
        <v>61</v>
      </c>
      <c r="F80" s="167">
        <v>395</v>
      </c>
      <c r="G80" s="168">
        <f t="shared" ref="G80:G142" si="3">+E80*F80</f>
        <v>24095</v>
      </c>
      <c r="H80" s="169">
        <f t="shared" si="2"/>
        <v>24095</v>
      </c>
    </row>
    <row r="81" spans="2:8" ht="15" customHeight="1" x14ac:dyDescent="0.25">
      <c r="B81" s="147" t="s">
        <v>220</v>
      </c>
      <c r="C81" s="156" t="s">
        <v>839</v>
      </c>
      <c r="D81" s="149" t="s">
        <v>840</v>
      </c>
      <c r="E81" s="166"/>
      <c r="F81" s="167"/>
      <c r="G81" s="168" t="s">
        <v>737</v>
      </c>
      <c r="H81" s="169">
        <f t="shared" si="2"/>
        <v>0</v>
      </c>
    </row>
    <row r="82" spans="2:8" ht="15" customHeight="1" x14ac:dyDescent="0.25">
      <c r="B82" s="147" t="s">
        <v>222</v>
      </c>
      <c r="C82" s="156" t="s">
        <v>841</v>
      </c>
      <c r="D82" s="149" t="s">
        <v>842</v>
      </c>
      <c r="E82" s="166"/>
      <c r="F82" s="167"/>
      <c r="G82" s="168" t="s">
        <v>737</v>
      </c>
      <c r="H82" s="169">
        <f t="shared" si="2"/>
        <v>0</v>
      </c>
    </row>
    <row r="83" spans="2:8" ht="15" customHeight="1" x14ac:dyDescent="0.25">
      <c r="B83" s="147" t="s">
        <v>225</v>
      </c>
      <c r="C83" s="156" t="s">
        <v>841</v>
      </c>
      <c r="D83" s="149" t="s">
        <v>843</v>
      </c>
      <c r="E83" s="166">
        <v>40</v>
      </c>
      <c r="F83" s="167">
        <v>198</v>
      </c>
      <c r="G83" s="168">
        <f t="shared" si="3"/>
        <v>7920</v>
      </c>
      <c r="H83" s="169">
        <f t="shared" si="2"/>
        <v>7920</v>
      </c>
    </row>
    <row r="84" spans="2:8" ht="15" customHeight="1" x14ac:dyDescent="0.25">
      <c r="B84" s="147" t="s">
        <v>228</v>
      </c>
      <c r="C84" s="156" t="s">
        <v>844</v>
      </c>
      <c r="D84" s="149" t="s">
        <v>845</v>
      </c>
      <c r="E84" s="166"/>
      <c r="F84" s="167"/>
      <c r="G84" s="168" t="s">
        <v>737</v>
      </c>
      <c r="H84" s="169">
        <f t="shared" si="2"/>
        <v>0</v>
      </c>
    </row>
    <row r="85" spans="2:8" ht="15" customHeight="1" x14ac:dyDescent="0.25">
      <c r="B85" s="147" t="s">
        <v>231</v>
      </c>
      <c r="C85" s="156" t="s">
        <v>846</v>
      </c>
      <c r="D85" s="149" t="s">
        <v>847</v>
      </c>
      <c r="E85" s="166">
        <f>2+2</f>
        <v>4</v>
      </c>
      <c r="F85" s="167">
        <v>110</v>
      </c>
      <c r="G85" s="168">
        <f t="shared" si="3"/>
        <v>440</v>
      </c>
      <c r="H85" s="169">
        <f t="shared" si="2"/>
        <v>440</v>
      </c>
    </row>
    <row r="86" spans="2:8" ht="15" customHeight="1" x14ac:dyDescent="0.25">
      <c r="B86" s="147" t="s">
        <v>234</v>
      </c>
      <c r="C86" s="156" t="s">
        <v>848</v>
      </c>
      <c r="D86" s="157" t="s">
        <v>849</v>
      </c>
      <c r="E86" s="166">
        <f>107+190</f>
        <v>297</v>
      </c>
      <c r="F86" s="167">
        <v>17.399999999999999</v>
      </c>
      <c r="G86" s="168">
        <f t="shared" si="3"/>
        <v>5167.7999999999993</v>
      </c>
      <c r="H86" s="169">
        <f t="shared" si="2"/>
        <v>5167.7999999999993</v>
      </c>
    </row>
    <row r="87" spans="2:8" ht="15" customHeight="1" x14ac:dyDescent="0.25">
      <c r="B87" s="147" t="s">
        <v>237</v>
      </c>
      <c r="C87" s="156" t="s">
        <v>848</v>
      </c>
      <c r="D87" s="149" t="s">
        <v>850</v>
      </c>
      <c r="E87" s="166"/>
      <c r="F87" s="167"/>
      <c r="G87" s="168" t="s">
        <v>737</v>
      </c>
      <c r="H87" s="169">
        <f t="shared" si="2"/>
        <v>0</v>
      </c>
    </row>
    <row r="88" spans="2:8" ht="15" customHeight="1" x14ac:dyDescent="0.25">
      <c r="B88" s="147" t="s">
        <v>239</v>
      </c>
      <c r="C88" s="156" t="s">
        <v>848</v>
      </c>
      <c r="D88" s="149" t="s">
        <v>851</v>
      </c>
      <c r="E88" s="166">
        <f>13+55</f>
        <v>68</v>
      </c>
      <c r="F88" s="167">
        <v>100</v>
      </c>
      <c r="G88" s="168">
        <f t="shared" si="3"/>
        <v>6800</v>
      </c>
      <c r="H88" s="169">
        <f t="shared" si="2"/>
        <v>6800</v>
      </c>
    </row>
    <row r="89" spans="2:8" ht="15" customHeight="1" x14ac:dyDescent="0.25">
      <c r="B89" s="147" t="s">
        <v>241</v>
      </c>
      <c r="C89" s="156" t="s">
        <v>852</v>
      </c>
      <c r="D89" s="149" t="s">
        <v>853</v>
      </c>
      <c r="E89" s="166">
        <f>1+160</f>
        <v>161</v>
      </c>
      <c r="F89" s="167">
        <v>67</v>
      </c>
      <c r="G89" s="168">
        <f t="shared" si="3"/>
        <v>10787</v>
      </c>
      <c r="H89" s="169">
        <f t="shared" si="2"/>
        <v>10787</v>
      </c>
    </row>
    <row r="90" spans="2:8" ht="15" customHeight="1" x14ac:dyDescent="0.25">
      <c r="B90" s="147" t="s">
        <v>243</v>
      </c>
      <c r="C90" s="156" t="s">
        <v>852</v>
      </c>
      <c r="D90" s="149" t="s">
        <v>854</v>
      </c>
      <c r="E90" s="166">
        <v>0</v>
      </c>
      <c r="F90" s="167"/>
      <c r="G90" s="168" t="s">
        <v>737</v>
      </c>
      <c r="H90" s="169">
        <f t="shared" si="2"/>
        <v>0</v>
      </c>
    </row>
    <row r="91" spans="2:8" ht="15" customHeight="1" x14ac:dyDescent="0.25">
      <c r="B91" s="147" t="s">
        <v>246</v>
      </c>
      <c r="C91" s="156" t="s">
        <v>852</v>
      </c>
      <c r="D91" s="149" t="s">
        <v>855</v>
      </c>
      <c r="E91" s="166">
        <v>6</v>
      </c>
      <c r="F91" s="167">
        <v>173.39</v>
      </c>
      <c r="G91" s="168">
        <f t="shared" si="3"/>
        <v>1040.3399999999999</v>
      </c>
      <c r="H91" s="169">
        <f t="shared" si="2"/>
        <v>1040.3399999999999</v>
      </c>
    </row>
    <row r="92" spans="2:8" ht="15" customHeight="1" x14ac:dyDescent="0.25">
      <c r="B92" s="147" t="s">
        <v>249</v>
      </c>
      <c r="C92" s="156" t="s">
        <v>856</v>
      </c>
      <c r="D92" s="157" t="s">
        <v>857</v>
      </c>
      <c r="E92" s="166"/>
      <c r="F92" s="167"/>
      <c r="G92" s="168" t="s">
        <v>737</v>
      </c>
      <c r="H92" s="169">
        <f t="shared" si="2"/>
        <v>0</v>
      </c>
    </row>
    <row r="93" spans="2:8" ht="15" customHeight="1" x14ac:dyDescent="0.25">
      <c r="B93" s="147" t="s">
        <v>252</v>
      </c>
      <c r="C93" s="156" t="s">
        <v>856</v>
      </c>
      <c r="D93" s="157" t="s">
        <v>858</v>
      </c>
      <c r="E93" s="166">
        <v>38</v>
      </c>
      <c r="F93" s="167">
        <v>101.45</v>
      </c>
      <c r="G93" s="168">
        <f t="shared" si="3"/>
        <v>3855.1</v>
      </c>
      <c r="H93" s="169">
        <f t="shared" si="2"/>
        <v>3855.1</v>
      </c>
    </row>
    <row r="94" spans="2:8" ht="15" customHeight="1" x14ac:dyDescent="0.25">
      <c r="B94" s="147" t="s">
        <v>255</v>
      </c>
      <c r="C94" s="159" t="s">
        <v>859</v>
      </c>
      <c r="D94" s="158" t="s">
        <v>860</v>
      </c>
      <c r="E94" s="166">
        <f>1+15</f>
        <v>16</v>
      </c>
      <c r="F94" s="167">
        <v>68</v>
      </c>
      <c r="G94" s="168">
        <f t="shared" si="3"/>
        <v>1088</v>
      </c>
      <c r="H94" s="169">
        <f t="shared" si="2"/>
        <v>1088</v>
      </c>
    </row>
    <row r="95" spans="2:8" ht="15" customHeight="1" x14ac:dyDescent="0.25">
      <c r="B95" s="147" t="s">
        <v>257</v>
      </c>
      <c r="C95" s="159" t="s">
        <v>859</v>
      </c>
      <c r="D95" s="158" t="s">
        <v>861</v>
      </c>
      <c r="E95" s="166">
        <f>2+88</f>
        <v>90</v>
      </c>
      <c r="F95" s="167">
        <v>585</v>
      </c>
      <c r="G95" s="168">
        <f t="shared" si="3"/>
        <v>52650</v>
      </c>
      <c r="H95" s="169">
        <f t="shared" si="2"/>
        <v>52650</v>
      </c>
    </row>
    <row r="96" spans="2:8" ht="15" customHeight="1" x14ac:dyDescent="0.25">
      <c r="B96" s="147" t="s">
        <v>260</v>
      </c>
      <c r="C96" s="159" t="s">
        <v>862</v>
      </c>
      <c r="D96" s="158" t="s">
        <v>863</v>
      </c>
      <c r="E96" s="166">
        <v>38</v>
      </c>
      <c r="F96" s="167"/>
      <c r="G96" s="168">
        <f t="shared" si="3"/>
        <v>0</v>
      </c>
      <c r="H96" s="169">
        <f t="shared" si="2"/>
        <v>0</v>
      </c>
    </row>
    <row r="97" spans="2:8" ht="15" customHeight="1" x14ac:dyDescent="0.25">
      <c r="B97" s="147" t="s">
        <v>263</v>
      </c>
      <c r="C97" s="159" t="s">
        <v>862</v>
      </c>
      <c r="D97" s="158" t="s">
        <v>864</v>
      </c>
      <c r="E97" s="166">
        <v>80</v>
      </c>
      <c r="F97" s="167"/>
      <c r="G97" s="168">
        <f t="shared" si="3"/>
        <v>0</v>
      </c>
      <c r="H97" s="169">
        <f t="shared" si="2"/>
        <v>0</v>
      </c>
    </row>
    <row r="98" spans="2:8" ht="15" customHeight="1" x14ac:dyDescent="0.25">
      <c r="B98" s="147" t="s">
        <v>266</v>
      </c>
      <c r="C98" s="157" t="s">
        <v>865</v>
      </c>
      <c r="D98" s="157" t="s">
        <v>866</v>
      </c>
      <c r="E98" s="166">
        <v>2</v>
      </c>
      <c r="F98" s="167"/>
      <c r="G98" s="168">
        <f t="shared" si="3"/>
        <v>0</v>
      </c>
      <c r="H98" s="169">
        <f t="shared" si="2"/>
        <v>0</v>
      </c>
    </row>
    <row r="99" spans="2:8" ht="15" customHeight="1" x14ac:dyDescent="0.25">
      <c r="B99" s="147" t="s">
        <v>268</v>
      </c>
      <c r="C99" s="157" t="s">
        <v>865</v>
      </c>
      <c r="D99" s="157" t="s">
        <v>867</v>
      </c>
      <c r="E99" s="166">
        <v>1</v>
      </c>
      <c r="F99" s="167"/>
      <c r="G99" s="168">
        <f t="shared" si="3"/>
        <v>0</v>
      </c>
      <c r="H99" s="169">
        <f t="shared" si="2"/>
        <v>0</v>
      </c>
    </row>
    <row r="100" spans="2:8" ht="15" customHeight="1" x14ac:dyDescent="0.25">
      <c r="B100" s="147" t="s">
        <v>270</v>
      </c>
      <c r="C100" s="157" t="s">
        <v>865</v>
      </c>
      <c r="D100" s="157" t="s">
        <v>868</v>
      </c>
      <c r="E100" s="166">
        <v>1</v>
      </c>
      <c r="F100" s="167"/>
      <c r="G100" s="168">
        <f t="shared" si="3"/>
        <v>0</v>
      </c>
      <c r="H100" s="169">
        <f t="shared" si="2"/>
        <v>0</v>
      </c>
    </row>
    <row r="101" spans="2:8" ht="15" customHeight="1" x14ac:dyDescent="0.25">
      <c r="B101" s="147" t="s">
        <v>272</v>
      </c>
      <c r="C101" s="157" t="s">
        <v>865</v>
      </c>
      <c r="D101" s="157" t="s">
        <v>869</v>
      </c>
      <c r="E101" s="166"/>
      <c r="F101" s="167"/>
      <c r="G101" s="168" t="s">
        <v>737</v>
      </c>
      <c r="H101" s="169">
        <f t="shared" si="2"/>
        <v>0</v>
      </c>
    </row>
    <row r="102" spans="2:8" ht="15" customHeight="1" x14ac:dyDescent="0.25">
      <c r="B102" s="147" t="s">
        <v>275</v>
      </c>
      <c r="C102" s="157" t="s">
        <v>865</v>
      </c>
      <c r="D102" s="157" t="s">
        <v>870</v>
      </c>
      <c r="E102" s="166">
        <v>174</v>
      </c>
      <c r="F102" s="167"/>
      <c r="G102" s="168">
        <f t="shared" si="3"/>
        <v>0</v>
      </c>
      <c r="H102" s="169">
        <f t="shared" si="2"/>
        <v>0</v>
      </c>
    </row>
    <row r="103" spans="2:8" ht="15" customHeight="1" x14ac:dyDescent="0.25">
      <c r="B103" s="147" t="s">
        <v>277</v>
      </c>
      <c r="C103" s="157" t="s">
        <v>871</v>
      </c>
      <c r="D103" s="157" t="s">
        <v>872</v>
      </c>
      <c r="E103" s="166"/>
      <c r="F103" s="167"/>
      <c r="G103" s="168" t="s">
        <v>737</v>
      </c>
      <c r="H103" s="169">
        <f t="shared" si="2"/>
        <v>0</v>
      </c>
    </row>
    <row r="104" spans="2:8" ht="15" customHeight="1" x14ac:dyDescent="0.25">
      <c r="B104" s="147" t="s">
        <v>279</v>
      </c>
      <c r="C104" s="157" t="s">
        <v>873</v>
      </c>
      <c r="D104" s="157" t="s">
        <v>874</v>
      </c>
      <c r="E104" s="166">
        <v>121</v>
      </c>
      <c r="F104" s="167">
        <v>2.4500000000000002</v>
      </c>
      <c r="G104" s="168">
        <f t="shared" si="3"/>
        <v>296.45000000000005</v>
      </c>
      <c r="H104" s="169">
        <f t="shared" si="2"/>
        <v>296.45000000000005</v>
      </c>
    </row>
    <row r="105" spans="2:8" ht="15" customHeight="1" x14ac:dyDescent="0.25">
      <c r="B105" s="147" t="s">
        <v>281</v>
      </c>
      <c r="C105" s="156" t="s">
        <v>875</v>
      </c>
      <c r="D105" s="149" t="s">
        <v>781</v>
      </c>
      <c r="E105" s="166">
        <v>9</v>
      </c>
      <c r="F105" s="167">
        <v>179.45</v>
      </c>
      <c r="G105" s="168">
        <f t="shared" si="3"/>
        <v>1615.05</v>
      </c>
      <c r="H105" s="169">
        <f t="shared" si="2"/>
        <v>1615.05</v>
      </c>
    </row>
    <row r="106" spans="2:8" ht="15" customHeight="1" x14ac:dyDescent="0.25">
      <c r="B106" s="147" t="s">
        <v>284</v>
      </c>
      <c r="C106" s="156" t="s">
        <v>876</v>
      </c>
      <c r="D106" s="149" t="s">
        <v>877</v>
      </c>
      <c r="E106" s="166">
        <f>17+70</f>
        <v>87</v>
      </c>
      <c r="F106" s="167">
        <v>55</v>
      </c>
      <c r="G106" s="168">
        <f t="shared" si="3"/>
        <v>4785</v>
      </c>
      <c r="H106" s="169">
        <f t="shared" si="2"/>
        <v>4785</v>
      </c>
    </row>
    <row r="107" spans="2:8" ht="15" customHeight="1" x14ac:dyDescent="0.25">
      <c r="B107" s="147" t="s">
        <v>286</v>
      </c>
      <c r="C107" s="156" t="s">
        <v>876</v>
      </c>
      <c r="D107" s="149" t="s">
        <v>821</v>
      </c>
      <c r="E107" s="166">
        <v>69</v>
      </c>
      <c r="F107" s="167"/>
      <c r="G107" s="168">
        <f t="shared" si="3"/>
        <v>0</v>
      </c>
      <c r="H107" s="169">
        <f t="shared" si="2"/>
        <v>0</v>
      </c>
    </row>
    <row r="108" spans="2:8" ht="15" customHeight="1" x14ac:dyDescent="0.25">
      <c r="B108" s="147" t="s">
        <v>288</v>
      </c>
      <c r="C108" s="156" t="s">
        <v>878</v>
      </c>
      <c r="D108" s="157" t="s">
        <v>879</v>
      </c>
      <c r="E108" s="166"/>
      <c r="F108" s="167"/>
      <c r="G108" s="168" t="s">
        <v>737</v>
      </c>
      <c r="H108" s="169">
        <f t="shared" si="2"/>
        <v>0</v>
      </c>
    </row>
    <row r="109" spans="2:8" ht="15" customHeight="1" x14ac:dyDescent="0.25">
      <c r="B109" s="147" t="s">
        <v>291</v>
      </c>
      <c r="C109" s="156" t="s">
        <v>880</v>
      </c>
      <c r="D109" s="149" t="s">
        <v>881</v>
      </c>
      <c r="E109" s="166">
        <f>1+6</f>
        <v>7</v>
      </c>
      <c r="F109" s="167">
        <v>149.91999999999999</v>
      </c>
      <c r="G109" s="168">
        <f t="shared" si="3"/>
        <v>1049.4399999999998</v>
      </c>
      <c r="H109" s="169">
        <f t="shared" si="2"/>
        <v>1049.4399999999998</v>
      </c>
    </row>
    <row r="110" spans="2:8" ht="15" customHeight="1" x14ac:dyDescent="0.25">
      <c r="B110" s="147" t="s">
        <v>294</v>
      </c>
      <c r="C110" s="156" t="s">
        <v>882</v>
      </c>
      <c r="D110" s="149" t="s">
        <v>883</v>
      </c>
      <c r="E110" s="166"/>
      <c r="F110" s="167"/>
      <c r="G110" s="168" t="s">
        <v>737</v>
      </c>
      <c r="H110" s="169">
        <f t="shared" si="2"/>
        <v>0</v>
      </c>
    </row>
    <row r="111" spans="2:8" ht="15" customHeight="1" x14ac:dyDescent="0.25">
      <c r="B111" s="147" t="s">
        <v>297</v>
      </c>
      <c r="C111" s="156" t="s">
        <v>884</v>
      </c>
      <c r="D111" s="149" t="s">
        <v>883</v>
      </c>
      <c r="E111" s="166"/>
      <c r="F111" s="167"/>
      <c r="G111" s="168" t="s">
        <v>737</v>
      </c>
      <c r="H111" s="169">
        <f t="shared" si="2"/>
        <v>0</v>
      </c>
    </row>
    <row r="112" spans="2:8" ht="15" customHeight="1" x14ac:dyDescent="0.25">
      <c r="B112" s="147" t="s">
        <v>299</v>
      </c>
      <c r="C112" s="156" t="s">
        <v>885</v>
      </c>
      <c r="D112" s="149" t="s">
        <v>886</v>
      </c>
      <c r="E112" s="166"/>
      <c r="F112" s="167"/>
      <c r="G112" s="168" t="s">
        <v>737</v>
      </c>
      <c r="H112" s="169">
        <f t="shared" si="2"/>
        <v>0</v>
      </c>
    </row>
    <row r="113" spans="2:10" ht="15" customHeight="1" x14ac:dyDescent="0.25">
      <c r="B113" s="147" t="s">
        <v>302</v>
      </c>
      <c r="C113" s="156" t="s">
        <v>887</v>
      </c>
      <c r="D113" s="149" t="s">
        <v>888</v>
      </c>
      <c r="E113" s="166">
        <v>167</v>
      </c>
      <c r="F113" s="167"/>
      <c r="G113" s="168">
        <f>+E113*F113</f>
        <v>0</v>
      </c>
      <c r="H113" s="169">
        <f t="shared" si="2"/>
        <v>0</v>
      </c>
    </row>
    <row r="114" spans="2:10" ht="15" customHeight="1" x14ac:dyDescent="0.25">
      <c r="B114" s="147" t="s">
        <v>305</v>
      </c>
      <c r="C114" s="156" t="s">
        <v>889</v>
      </c>
      <c r="D114" s="149" t="s">
        <v>890</v>
      </c>
      <c r="E114" s="166">
        <f>446+4475</f>
        <v>4921</v>
      </c>
      <c r="F114" s="167">
        <v>1.43</v>
      </c>
      <c r="G114" s="168">
        <f t="shared" si="3"/>
        <v>7037.03</v>
      </c>
      <c r="H114" s="169">
        <f t="shared" si="2"/>
        <v>7037.03</v>
      </c>
    </row>
    <row r="115" spans="2:10" ht="15" customHeight="1" x14ac:dyDescent="0.25">
      <c r="B115" s="147" t="s">
        <v>307</v>
      </c>
      <c r="C115" s="156" t="s">
        <v>891</v>
      </c>
      <c r="D115" s="149" t="s">
        <v>892</v>
      </c>
      <c r="E115" s="166">
        <v>12</v>
      </c>
      <c r="F115" s="167">
        <v>96.41</v>
      </c>
      <c r="G115" s="168">
        <f t="shared" si="3"/>
        <v>1156.92</v>
      </c>
      <c r="H115" s="169">
        <f t="shared" si="2"/>
        <v>1156.92</v>
      </c>
    </row>
    <row r="116" spans="2:10" ht="15" customHeight="1" x14ac:dyDescent="0.25">
      <c r="B116" s="147" t="s">
        <v>309</v>
      </c>
      <c r="C116" s="156" t="s">
        <v>891</v>
      </c>
      <c r="D116" s="149" t="s">
        <v>893</v>
      </c>
      <c r="E116" s="166">
        <f>5+48</f>
        <v>53</v>
      </c>
      <c r="F116" s="167">
        <v>110</v>
      </c>
      <c r="G116" s="168">
        <f t="shared" si="3"/>
        <v>5830</v>
      </c>
      <c r="H116" s="169">
        <f t="shared" si="2"/>
        <v>5830</v>
      </c>
    </row>
    <row r="117" spans="2:10" ht="15" customHeight="1" x14ac:dyDescent="0.25">
      <c r="B117" s="147" t="s">
        <v>311</v>
      </c>
      <c r="C117" s="156" t="s">
        <v>894</v>
      </c>
      <c r="D117" s="149" t="s">
        <v>895</v>
      </c>
      <c r="E117" s="166">
        <f>3+60</f>
        <v>63</v>
      </c>
      <c r="F117" s="167">
        <v>110</v>
      </c>
      <c r="G117" s="168">
        <f t="shared" si="3"/>
        <v>6930</v>
      </c>
      <c r="H117" s="169">
        <f t="shared" si="2"/>
        <v>6930</v>
      </c>
    </row>
    <row r="118" spans="2:10" ht="15" customHeight="1" x14ac:dyDescent="0.25">
      <c r="B118" s="147" t="s">
        <v>313</v>
      </c>
      <c r="C118" s="156" t="s">
        <v>896</v>
      </c>
      <c r="D118" s="157" t="s">
        <v>897</v>
      </c>
      <c r="E118" s="166"/>
      <c r="F118" s="167"/>
      <c r="G118" s="168" t="s">
        <v>737</v>
      </c>
      <c r="H118" s="169">
        <f t="shared" si="2"/>
        <v>0</v>
      </c>
    </row>
    <row r="119" spans="2:10" ht="15" customHeight="1" x14ac:dyDescent="0.25">
      <c r="B119" s="147" t="s">
        <v>315</v>
      </c>
      <c r="C119" s="156" t="s">
        <v>898</v>
      </c>
      <c r="D119" s="157" t="s">
        <v>899</v>
      </c>
      <c r="E119" s="166">
        <v>11</v>
      </c>
      <c r="F119" s="167"/>
      <c r="G119" s="168">
        <f t="shared" si="3"/>
        <v>0</v>
      </c>
      <c r="H119" s="169">
        <f t="shared" si="2"/>
        <v>0</v>
      </c>
    </row>
    <row r="120" spans="2:10" ht="15" customHeight="1" x14ac:dyDescent="0.25">
      <c r="B120" s="147" t="s">
        <v>317</v>
      </c>
      <c r="C120" s="156" t="s">
        <v>900</v>
      </c>
      <c r="D120" s="157" t="s">
        <v>899</v>
      </c>
      <c r="E120" s="166">
        <v>23</v>
      </c>
      <c r="F120" s="167"/>
      <c r="G120" s="168">
        <f t="shared" si="3"/>
        <v>0</v>
      </c>
      <c r="H120" s="169">
        <f t="shared" si="2"/>
        <v>0</v>
      </c>
    </row>
    <row r="121" spans="2:10" ht="15" customHeight="1" x14ac:dyDescent="0.25">
      <c r="B121" s="147" t="s">
        <v>320</v>
      </c>
      <c r="C121" s="156" t="s">
        <v>901</v>
      </c>
      <c r="D121" s="157" t="s">
        <v>902</v>
      </c>
      <c r="E121" s="166">
        <v>76</v>
      </c>
      <c r="F121" s="167"/>
      <c r="G121" s="168">
        <f t="shared" si="3"/>
        <v>0</v>
      </c>
      <c r="H121" s="169">
        <f t="shared" si="2"/>
        <v>0</v>
      </c>
    </row>
    <row r="122" spans="2:10" ht="15" customHeight="1" x14ac:dyDescent="0.25">
      <c r="B122" s="147" t="s">
        <v>322</v>
      </c>
      <c r="C122" s="156" t="s">
        <v>903</v>
      </c>
      <c r="D122" s="157" t="s">
        <v>904</v>
      </c>
      <c r="E122" s="166">
        <v>154</v>
      </c>
      <c r="F122" s="167">
        <v>160</v>
      </c>
      <c r="G122" s="168">
        <f t="shared" si="3"/>
        <v>24640</v>
      </c>
      <c r="H122" s="169">
        <f t="shared" si="2"/>
        <v>24640</v>
      </c>
    </row>
    <row r="123" spans="2:10" ht="15" customHeight="1" x14ac:dyDescent="0.25">
      <c r="B123" s="147" t="s">
        <v>324</v>
      </c>
      <c r="C123" s="156" t="s">
        <v>903</v>
      </c>
      <c r="D123" s="157" t="s">
        <v>905</v>
      </c>
      <c r="E123" s="166">
        <v>109</v>
      </c>
      <c r="F123" s="167">
        <v>104</v>
      </c>
      <c r="G123" s="168">
        <f t="shared" si="3"/>
        <v>11336</v>
      </c>
      <c r="H123" s="169">
        <f t="shared" si="2"/>
        <v>11336</v>
      </c>
      <c r="J123" s="2" t="s">
        <v>12</v>
      </c>
    </row>
    <row r="124" spans="2:10" ht="15" customHeight="1" x14ac:dyDescent="0.25">
      <c r="B124" s="147" t="s">
        <v>326</v>
      </c>
      <c r="C124" s="156" t="s">
        <v>903</v>
      </c>
      <c r="D124" s="157" t="s">
        <v>906</v>
      </c>
      <c r="E124" s="166"/>
      <c r="F124" s="167"/>
      <c r="G124" s="168" t="s">
        <v>737</v>
      </c>
      <c r="H124" s="169">
        <f t="shared" si="2"/>
        <v>0</v>
      </c>
    </row>
    <row r="125" spans="2:10" ht="15" customHeight="1" x14ac:dyDescent="0.25">
      <c r="B125" s="147" t="s">
        <v>328</v>
      </c>
      <c r="C125" s="156" t="s">
        <v>907</v>
      </c>
      <c r="D125" s="149" t="s">
        <v>908</v>
      </c>
      <c r="E125" s="166">
        <v>100</v>
      </c>
      <c r="F125" s="167">
        <v>80</v>
      </c>
      <c r="G125" s="168">
        <f t="shared" si="3"/>
        <v>8000</v>
      </c>
      <c r="H125" s="169">
        <f t="shared" si="2"/>
        <v>8000</v>
      </c>
    </row>
    <row r="126" spans="2:10" ht="15" customHeight="1" x14ac:dyDescent="0.25">
      <c r="B126" s="147" t="s">
        <v>330</v>
      </c>
      <c r="C126" s="156" t="s">
        <v>909</v>
      </c>
      <c r="D126" s="149" t="s">
        <v>910</v>
      </c>
      <c r="E126" s="166">
        <f>16+42</f>
        <v>58</v>
      </c>
      <c r="F126" s="167">
        <v>138</v>
      </c>
      <c r="G126" s="168">
        <f t="shared" si="3"/>
        <v>8004</v>
      </c>
      <c r="H126" s="169">
        <f t="shared" si="2"/>
        <v>8004</v>
      </c>
    </row>
    <row r="127" spans="2:10" ht="15" customHeight="1" x14ac:dyDescent="0.25">
      <c r="B127" s="147" t="s">
        <v>332</v>
      </c>
      <c r="C127" s="156" t="s">
        <v>911</v>
      </c>
      <c r="D127" s="149" t="s">
        <v>845</v>
      </c>
      <c r="E127" s="166">
        <v>3</v>
      </c>
      <c r="F127" s="167">
        <v>656</v>
      </c>
      <c r="G127" s="168">
        <f t="shared" si="3"/>
        <v>1968</v>
      </c>
      <c r="H127" s="169">
        <f t="shared" si="2"/>
        <v>1968</v>
      </c>
    </row>
    <row r="128" spans="2:10" ht="15" customHeight="1" x14ac:dyDescent="0.25">
      <c r="B128" s="147" t="s">
        <v>334</v>
      </c>
      <c r="C128" s="156" t="s">
        <v>912</v>
      </c>
      <c r="D128" s="149" t="s">
        <v>913</v>
      </c>
      <c r="E128" s="166"/>
      <c r="F128" s="167"/>
      <c r="G128" s="168" t="s">
        <v>737</v>
      </c>
      <c r="H128" s="169">
        <f t="shared" si="2"/>
        <v>0</v>
      </c>
    </row>
    <row r="129" spans="2:10" ht="15" customHeight="1" x14ac:dyDescent="0.25">
      <c r="B129" s="147" t="s">
        <v>336</v>
      </c>
      <c r="C129" s="156" t="s">
        <v>914</v>
      </c>
      <c r="D129" s="149" t="s">
        <v>915</v>
      </c>
      <c r="E129" s="166">
        <v>6</v>
      </c>
      <c r="F129" s="167"/>
      <c r="G129" s="168">
        <f t="shared" si="3"/>
        <v>0</v>
      </c>
      <c r="H129" s="169">
        <f t="shared" si="2"/>
        <v>0</v>
      </c>
    </row>
    <row r="130" spans="2:10" ht="15" customHeight="1" x14ac:dyDescent="0.25">
      <c r="B130" s="147" t="s">
        <v>338</v>
      </c>
      <c r="C130" s="156" t="s">
        <v>916</v>
      </c>
      <c r="D130" s="157" t="s">
        <v>917</v>
      </c>
      <c r="E130" s="166">
        <f>108+72</f>
        <v>180</v>
      </c>
      <c r="F130" s="167">
        <v>25.42</v>
      </c>
      <c r="G130" s="168">
        <f t="shared" si="3"/>
        <v>4575.6000000000004</v>
      </c>
      <c r="H130" s="169">
        <f t="shared" si="2"/>
        <v>4575.6000000000004</v>
      </c>
    </row>
    <row r="131" spans="2:10" ht="15" customHeight="1" x14ac:dyDescent="0.25">
      <c r="B131" s="147" t="s">
        <v>340</v>
      </c>
      <c r="C131" s="156" t="s">
        <v>916</v>
      </c>
      <c r="D131" s="157" t="s">
        <v>918</v>
      </c>
      <c r="E131" s="166">
        <v>31</v>
      </c>
      <c r="F131" s="167">
        <v>138</v>
      </c>
      <c r="G131" s="168">
        <f t="shared" si="3"/>
        <v>4278</v>
      </c>
      <c r="H131" s="169">
        <f t="shared" si="2"/>
        <v>4278</v>
      </c>
    </row>
    <row r="132" spans="2:10" ht="15" customHeight="1" x14ac:dyDescent="0.25">
      <c r="B132" s="147" t="s">
        <v>343</v>
      </c>
      <c r="C132" s="157" t="s">
        <v>919</v>
      </c>
      <c r="D132" s="149" t="s">
        <v>797</v>
      </c>
      <c r="E132" s="166">
        <f>61+36</f>
        <v>97</v>
      </c>
      <c r="F132" s="167">
        <v>36.78</v>
      </c>
      <c r="G132" s="168">
        <f t="shared" si="3"/>
        <v>3567.6600000000003</v>
      </c>
      <c r="H132" s="169">
        <f t="shared" si="2"/>
        <v>3567.6600000000003</v>
      </c>
    </row>
    <row r="133" spans="2:10" ht="15" customHeight="1" x14ac:dyDescent="0.25">
      <c r="B133" s="147" t="s">
        <v>346</v>
      </c>
      <c r="C133" s="156" t="s">
        <v>920</v>
      </c>
      <c r="D133" s="149" t="s">
        <v>921</v>
      </c>
      <c r="E133" s="166"/>
      <c r="F133" s="167"/>
      <c r="G133" s="168" t="s">
        <v>737</v>
      </c>
      <c r="H133" s="169">
        <f t="shared" si="2"/>
        <v>0</v>
      </c>
    </row>
    <row r="134" spans="2:10" ht="15" customHeight="1" x14ac:dyDescent="0.25">
      <c r="B134" s="147" t="s">
        <v>349</v>
      </c>
      <c r="C134" s="156" t="s">
        <v>920</v>
      </c>
      <c r="D134" s="149" t="s">
        <v>922</v>
      </c>
      <c r="E134" s="166"/>
      <c r="F134" s="167"/>
      <c r="G134" s="168" t="s">
        <v>737</v>
      </c>
      <c r="H134" s="169">
        <f t="shared" si="2"/>
        <v>0</v>
      </c>
    </row>
    <row r="135" spans="2:10" ht="15" customHeight="1" x14ac:dyDescent="0.25">
      <c r="B135" s="147" t="s">
        <v>352</v>
      </c>
      <c r="C135" s="156" t="s">
        <v>923</v>
      </c>
      <c r="D135" s="157" t="s">
        <v>924</v>
      </c>
      <c r="E135" s="166">
        <v>1</v>
      </c>
      <c r="F135" s="167">
        <v>109.1</v>
      </c>
      <c r="G135" s="168">
        <f t="shared" si="3"/>
        <v>109.1</v>
      </c>
      <c r="H135" s="169">
        <f t="shared" si="2"/>
        <v>109.1</v>
      </c>
    </row>
    <row r="136" spans="2:10" ht="15" customHeight="1" x14ac:dyDescent="0.25">
      <c r="B136" s="147" t="s">
        <v>355</v>
      </c>
      <c r="C136" s="156" t="s">
        <v>925</v>
      </c>
      <c r="D136" s="156" t="s">
        <v>926</v>
      </c>
      <c r="E136" s="166"/>
      <c r="F136" s="167"/>
      <c r="G136" s="168" t="s">
        <v>737</v>
      </c>
      <c r="H136" s="169">
        <f t="shared" si="2"/>
        <v>0</v>
      </c>
    </row>
    <row r="137" spans="2:10" ht="15" customHeight="1" x14ac:dyDescent="0.25">
      <c r="B137" s="147" t="s">
        <v>358</v>
      </c>
      <c r="C137" s="157" t="s">
        <v>925</v>
      </c>
      <c r="D137" s="157" t="s">
        <v>927</v>
      </c>
      <c r="E137" s="166"/>
      <c r="F137" s="167"/>
      <c r="G137" s="168" t="s">
        <v>737</v>
      </c>
      <c r="H137" s="169">
        <f t="shared" si="2"/>
        <v>0</v>
      </c>
    </row>
    <row r="138" spans="2:10" ht="15" customHeight="1" x14ac:dyDescent="0.25">
      <c r="B138" s="147" t="s">
        <v>361</v>
      </c>
      <c r="C138" s="156" t="s">
        <v>925</v>
      </c>
      <c r="D138" s="156" t="s">
        <v>928</v>
      </c>
      <c r="E138" s="166">
        <f>44+48</f>
        <v>92</v>
      </c>
      <c r="F138" s="167">
        <v>39</v>
      </c>
      <c r="G138" s="168">
        <f t="shared" si="3"/>
        <v>3588</v>
      </c>
      <c r="H138" s="169">
        <f t="shared" si="2"/>
        <v>3588</v>
      </c>
    </row>
    <row r="139" spans="2:10" ht="15" customHeight="1" x14ac:dyDescent="0.25">
      <c r="B139" s="147" t="s">
        <v>364</v>
      </c>
      <c r="C139" s="156" t="s">
        <v>925</v>
      </c>
      <c r="D139" s="149" t="s">
        <v>929</v>
      </c>
      <c r="E139" s="166">
        <v>239</v>
      </c>
      <c r="F139" s="167">
        <v>37</v>
      </c>
      <c r="G139" s="168">
        <f t="shared" si="3"/>
        <v>8843</v>
      </c>
      <c r="H139" s="169">
        <f t="shared" si="2"/>
        <v>8843</v>
      </c>
    </row>
    <row r="140" spans="2:10" ht="15" customHeight="1" x14ac:dyDescent="0.25">
      <c r="B140" s="147" t="s">
        <v>367</v>
      </c>
      <c r="C140" s="156" t="s">
        <v>925</v>
      </c>
      <c r="D140" s="149" t="s">
        <v>930</v>
      </c>
      <c r="E140" s="166"/>
      <c r="F140" s="167"/>
      <c r="G140" s="168" t="s">
        <v>737</v>
      </c>
      <c r="H140" s="169">
        <f t="shared" si="2"/>
        <v>0</v>
      </c>
    </row>
    <row r="141" spans="2:10" ht="15" customHeight="1" x14ac:dyDescent="0.25">
      <c r="B141" s="147" t="s">
        <v>369</v>
      </c>
      <c r="C141" s="156" t="s">
        <v>931</v>
      </c>
      <c r="D141" s="157" t="s">
        <v>932</v>
      </c>
      <c r="E141" s="166"/>
      <c r="F141" s="167"/>
      <c r="G141" s="168" t="s">
        <v>737</v>
      </c>
      <c r="H141" s="169">
        <f t="shared" si="2"/>
        <v>0</v>
      </c>
    </row>
    <row r="142" spans="2:10" ht="15" customHeight="1" x14ac:dyDescent="0.25">
      <c r="B142" s="151" t="s">
        <v>372</v>
      </c>
      <c r="C142" s="160" t="s">
        <v>931</v>
      </c>
      <c r="D142" s="152" t="s">
        <v>933</v>
      </c>
      <c r="E142" s="170">
        <v>29</v>
      </c>
      <c r="F142" s="171">
        <v>3162</v>
      </c>
      <c r="G142" s="172">
        <f t="shared" si="3"/>
        <v>91698</v>
      </c>
      <c r="H142" s="173">
        <f t="shared" si="2"/>
        <v>91698</v>
      </c>
    </row>
    <row r="143" spans="2:10" ht="15" customHeight="1" x14ac:dyDescent="0.25">
      <c r="B143" s="154" t="s">
        <v>374</v>
      </c>
      <c r="C143" s="161" t="s">
        <v>931</v>
      </c>
      <c r="D143" s="155" t="s">
        <v>934</v>
      </c>
      <c r="E143" s="174"/>
      <c r="F143" s="168"/>
      <c r="G143" s="168"/>
      <c r="H143" s="184">
        <v>0</v>
      </c>
    </row>
    <row r="144" spans="2:10" s="24" customFormat="1" ht="18" customHeight="1" thickBot="1" x14ac:dyDescent="0.3">
      <c r="B144" s="131" t="s">
        <v>13</v>
      </c>
      <c r="C144" s="131"/>
      <c r="D144" s="131"/>
      <c r="E144" s="131"/>
      <c r="F144" s="131"/>
      <c r="G144" s="23"/>
      <c r="H144" s="175">
        <f>SUM(H14:H143)</f>
        <v>4611332.9499999993</v>
      </c>
      <c r="I144" s="23"/>
      <c r="J144" s="23"/>
    </row>
    <row r="145" spans="2:10" ht="18" customHeight="1" thickTop="1" thickBot="1" x14ac:dyDescent="0.25">
      <c r="B145" s="5"/>
      <c r="C145" s="25"/>
      <c r="D145" s="26"/>
      <c r="E145" s="27"/>
      <c r="F145" s="28"/>
      <c r="G145" s="5"/>
      <c r="H145" s="5"/>
      <c r="I145" s="5"/>
      <c r="J145" s="5"/>
    </row>
    <row r="146" spans="2:10" ht="18" customHeight="1" x14ac:dyDescent="0.2">
      <c r="C146" s="29" t="s">
        <v>22</v>
      </c>
      <c r="D146" s="30" t="s">
        <v>23</v>
      </c>
      <c r="E146" s="31"/>
      <c r="F146" s="30"/>
    </row>
    <row r="147" spans="2:10" ht="18" customHeight="1" x14ac:dyDescent="0.2">
      <c r="C147" s="29"/>
      <c r="D147" s="30"/>
      <c r="E147" s="31"/>
      <c r="F147" s="30"/>
    </row>
    <row r="148" spans="2:10" ht="18" customHeight="1" x14ac:dyDescent="0.2">
      <c r="C148" s="29"/>
      <c r="D148" s="30"/>
      <c r="E148" s="31"/>
      <c r="F148" s="30"/>
    </row>
    <row r="149" spans="2:10" s="32" customFormat="1" ht="18" customHeight="1" x14ac:dyDescent="0.2">
      <c r="C149" s="33"/>
      <c r="D149" s="132"/>
      <c r="E149" s="132"/>
      <c r="F149" s="132"/>
    </row>
    <row r="150" spans="2:10" ht="18" customHeight="1" x14ac:dyDescent="0.2">
      <c r="B150" s="5"/>
      <c r="C150" s="28"/>
      <c r="D150" s="34"/>
      <c r="E150" s="27"/>
      <c r="F150" s="27"/>
      <c r="G150" s="5"/>
      <c r="H150" s="5"/>
      <c r="I150" s="5"/>
      <c r="J150" s="5"/>
    </row>
    <row r="151" spans="2:10" ht="18" customHeight="1" x14ac:dyDescent="0.2">
      <c r="B151" s="5"/>
      <c r="C151" s="133" t="s">
        <v>14</v>
      </c>
      <c r="D151" s="133"/>
      <c r="E151" s="133"/>
      <c r="F151" s="133"/>
      <c r="G151" s="5"/>
      <c r="H151" s="5"/>
      <c r="I151" s="5"/>
      <c r="J151" s="5"/>
    </row>
    <row r="152" spans="2:10" ht="18" customHeight="1" x14ac:dyDescent="0.2">
      <c r="B152" s="5"/>
      <c r="C152" s="133" t="s">
        <v>15</v>
      </c>
      <c r="D152" s="133"/>
      <c r="E152" s="133"/>
      <c r="F152" s="133"/>
      <c r="G152" s="5"/>
      <c r="H152" s="5"/>
      <c r="I152" s="5"/>
      <c r="J152" s="5"/>
    </row>
    <row r="153" spans="2:10" ht="18" customHeight="1" thickBot="1" x14ac:dyDescent="0.25">
      <c r="B153" s="5"/>
      <c r="C153" s="35"/>
      <c r="D153" s="36"/>
      <c r="E153" s="36"/>
      <c r="F153" s="5"/>
      <c r="G153" s="5"/>
      <c r="H153" s="5"/>
      <c r="I153" s="5"/>
      <c r="J153" s="5"/>
    </row>
    <row r="154" spans="2:10" s="37" customFormat="1" ht="18" customHeight="1" thickBot="1" x14ac:dyDescent="0.3">
      <c r="B154" s="134" t="s">
        <v>16</v>
      </c>
      <c r="C154" s="134"/>
      <c r="D154" s="134" t="s">
        <v>17</v>
      </c>
      <c r="E154" s="134"/>
      <c r="F154" s="134"/>
    </row>
    <row r="155" spans="2:10" s="38" customFormat="1" ht="18" customHeight="1" x14ac:dyDescent="0.15">
      <c r="B155" s="121" t="s">
        <v>18</v>
      </c>
      <c r="C155" s="121"/>
      <c r="D155" s="121"/>
      <c r="E155" s="121"/>
      <c r="F155" s="121"/>
    </row>
    <row r="156" spans="2:10" ht="18" customHeight="1" x14ac:dyDescent="0.2">
      <c r="B156" s="5"/>
      <c r="C156" s="35"/>
      <c r="D156" s="36"/>
      <c r="E156" s="36"/>
      <c r="F156" s="5"/>
      <c r="G156" s="5"/>
      <c r="H156" s="5"/>
      <c r="I156" s="5"/>
      <c r="J156" s="5"/>
    </row>
    <row r="157" spans="2:10" ht="18" customHeight="1" x14ac:dyDescent="0.2">
      <c r="B157" s="5"/>
      <c r="C157" s="35"/>
      <c r="D157" s="36"/>
      <c r="E157" s="36"/>
      <c r="F157" s="5"/>
      <c r="G157" s="5"/>
      <c r="H157" s="5"/>
      <c r="I157" s="5"/>
      <c r="J157" s="5"/>
    </row>
  </sheetData>
  <mergeCells count="18">
    <mergeCell ref="B155:F155"/>
    <mergeCell ref="E11:F11"/>
    <mergeCell ref="B12:B13"/>
    <mergeCell ref="C12:C13"/>
    <mergeCell ref="D12:D13"/>
    <mergeCell ref="E12:F12"/>
    <mergeCell ref="B144:F144"/>
    <mergeCell ref="D149:F149"/>
    <mergeCell ref="C151:F151"/>
    <mergeCell ref="C152:F152"/>
    <mergeCell ref="B154:C154"/>
    <mergeCell ref="D154:F154"/>
    <mergeCell ref="C8:D8"/>
    <mergeCell ref="C3:F3"/>
    <mergeCell ref="C4:F4"/>
    <mergeCell ref="C5:F5"/>
    <mergeCell ref="B6:F6"/>
    <mergeCell ref="B7:D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95"/>
  <sheetViews>
    <sheetView workbookViewId="0">
      <pane ySplit="14" topLeftCell="A270" activePane="bottomLeft" state="frozen"/>
      <selection pane="bottomLeft" activeCell="H14" sqref="H14"/>
    </sheetView>
  </sheetViews>
  <sheetFormatPr defaultColWidth="11.42578125" defaultRowHeight="15" customHeight="1" x14ac:dyDescent="0.2"/>
  <cols>
    <col min="1" max="1" width="3.140625" style="2" customWidth="1"/>
    <col min="2" max="2" width="3.7109375" style="2" customWidth="1"/>
    <col min="3" max="3" width="32" style="39" customWidth="1"/>
    <col min="4" max="4" width="49.28515625" style="40" customWidth="1"/>
    <col min="5" max="5" width="14.85546875" style="40" customWidth="1"/>
    <col min="6" max="6" width="15.140625" style="2" customWidth="1"/>
    <col min="7" max="7" width="3.28515625" style="2" hidden="1" customWidth="1"/>
    <col min="8" max="8" width="15.140625" style="2" customWidth="1"/>
    <col min="9" max="225" width="11.42578125" style="2"/>
    <col min="226" max="226" width="20.7109375" style="2" customWidth="1"/>
    <col min="227" max="227" width="22.7109375" style="2" customWidth="1"/>
    <col min="228" max="228" width="30.7109375" style="2" customWidth="1"/>
    <col min="229" max="230" width="10.7109375" style="2" customWidth="1"/>
    <col min="231" max="481" width="11.42578125" style="2"/>
    <col min="482" max="482" width="20.7109375" style="2" customWidth="1"/>
    <col min="483" max="483" width="22.7109375" style="2" customWidth="1"/>
    <col min="484" max="484" width="30.7109375" style="2" customWidth="1"/>
    <col min="485" max="486" width="10.7109375" style="2" customWidth="1"/>
    <col min="487" max="737" width="11.42578125" style="2"/>
    <col min="738" max="738" width="20.7109375" style="2" customWidth="1"/>
    <col min="739" max="739" width="22.7109375" style="2" customWidth="1"/>
    <col min="740" max="740" width="30.7109375" style="2" customWidth="1"/>
    <col min="741" max="742" width="10.7109375" style="2" customWidth="1"/>
    <col min="743" max="993" width="11.42578125" style="2"/>
    <col min="994" max="994" width="20.7109375" style="2" customWidth="1"/>
    <col min="995" max="995" width="22.7109375" style="2" customWidth="1"/>
    <col min="996" max="996" width="30.7109375" style="2" customWidth="1"/>
    <col min="997" max="998" width="10.7109375" style="2" customWidth="1"/>
    <col min="999" max="1249" width="11.42578125" style="2"/>
    <col min="1250" max="1250" width="20.7109375" style="2" customWidth="1"/>
    <col min="1251" max="1251" width="22.7109375" style="2" customWidth="1"/>
    <col min="1252" max="1252" width="30.7109375" style="2" customWidth="1"/>
    <col min="1253" max="1254" width="10.7109375" style="2" customWidth="1"/>
    <col min="1255" max="1505" width="11.42578125" style="2"/>
    <col min="1506" max="1506" width="20.7109375" style="2" customWidth="1"/>
    <col min="1507" max="1507" width="22.7109375" style="2" customWidth="1"/>
    <col min="1508" max="1508" width="30.7109375" style="2" customWidth="1"/>
    <col min="1509" max="1510" width="10.7109375" style="2" customWidth="1"/>
    <col min="1511" max="1761" width="11.42578125" style="2"/>
    <col min="1762" max="1762" width="20.7109375" style="2" customWidth="1"/>
    <col min="1763" max="1763" width="22.7109375" style="2" customWidth="1"/>
    <col min="1764" max="1764" width="30.7109375" style="2" customWidth="1"/>
    <col min="1765" max="1766" width="10.7109375" style="2" customWidth="1"/>
    <col min="1767" max="2017" width="11.42578125" style="2"/>
    <col min="2018" max="2018" width="20.7109375" style="2" customWidth="1"/>
    <col min="2019" max="2019" width="22.7109375" style="2" customWidth="1"/>
    <col min="2020" max="2020" width="30.7109375" style="2" customWidth="1"/>
    <col min="2021" max="2022" width="10.7109375" style="2" customWidth="1"/>
    <col min="2023" max="2273" width="11.42578125" style="2"/>
    <col min="2274" max="2274" width="20.7109375" style="2" customWidth="1"/>
    <col min="2275" max="2275" width="22.7109375" style="2" customWidth="1"/>
    <col min="2276" max="2276" width="30.7109375" style="2" customWidth="1"/>
    <col min="2277" max="2278" width="10.7109375" style="2" customWidth="1"/>
    <col min="2279" max="2529" width="11.42578125" style="2"/>
    <col min="2530" max="2530" width="20.7109375" style="2" customWidth="1"/>
    <col min="2531" max="2531" width="22.7109375" style="2" customWidth="1"/>
    <col min="2532" max="2532" width="30.7109375" style="2" customWidth="1"/>
    <col min="2533" max="2534" width="10.7109375" style="2" customWidth="1"/>
    <col min="2535" max="2785" width="11.42578125" style="2"/>
    <col min="2786" max="2786" width="20.7109375" style="2" customWidth="1"/>
    <col min="2787" max="2787" width="22.7109375" style="2" customWidth="1"/>
    <col min="2788" max="2788" width="30.7109375" style="2" customWidth="1"/>
    <col min="2789" max="2790" width="10.7109375" style="2" customWidth="1"/>
    <col min="2791" max="3041" width="11.42578125" style="2"/>
    <col min="3042" max="3042" width="20.7109375" style="2" customWidth="1"/>
    <col min="3043" max="3043" width="22.7109375" style="2" customWidth="1"/>
    <col min="3044" max="3044" width="30.7109375" style="2" customWidth="1"/>
    <col min="3045" max="3046" width="10.7109375" style="2" customWidth="1"/>
    <col min="3047" max="3297" width="11.42578125" style="2"/>
    <col min="3298" max="3298" width="20.7109375" style="2" customWidth="1"/>
    <col min="3299" max="3299" width="22.7109375" style="2" customWidth="1"/>
    <col min="3300" max="3300" width="30.7109375" style="2" customWidth="1"/>
    <col min="3301" max="3302" width="10.7109375" style="2" customWidth="1"/>
    <col min="3303" max="3553" width="11.42578125" style="2"/>
    <col min="3554" max="3554" width="20.7109375" style="2" customWidth="1"/>
    <col min="3555" max="3555" width="22.7109375" style="2" customWidth="1"/>
    <col min="3556" max="3556" width="30.7109375" style="2" customWidth="1"/>
    <col min="3557" max="3558" width="10.7109375" style="2" customWidth="1"/>
    <col min="3559" max="3809" width="11.42578125" style="2"/>
    <col min="3810" max="3810" width="20.7109375" style="2" customWidth="1"/>
    <col min="3811" max="3811" width="22.7109375" style="2" customWidth="1"/>
    <col min="3812" max="3812" width="30.7109375" style="2" customWidth="1"/>
    <col min="3813" max="3814" width="10.7109375" style="2" customWidth="1"/>
    <col min="3815" max="4065" width="11.42578125" style="2"/>
    <col min="4066" max="4066" width="20.7109375" style="2" customWidth="1"/>
    <col min="4067" max="4067" width="22.7109375" style="2" customWidth="1"/>
    <col min="4068" max="4068" width="30.7109375" style="2" customWidth="1"/>
    <col min="4069" max="4070" width="10.7109375" style="2" customWidth="1"/>
    <col min="4071" max="4321" width="11.42578125" style="2"/>
    <col min="4322" max="4322" width="20.7109375" style="2" customWidth="1"/>
    <col min="4323" max="4323" width="22.7109375" style="2" customWidth="1"/>
    <col min="4324" max="4324" width="30.7109375" style="2" customWidth="1"/>
    <col min="4325" max="4326" width="10.7109375" style="2" customWidth="1"/>
    <col min="4327" max="4577" width="11.42578125" style="2"/>
    <col min="4578" max="4578" width="20.7109375" style="2" customWidth="1"/>
    <col min="4579" max="4579" width="22.7109375" style="2" customWidth="1"/>
    <col min="4580" max="4580" width="30.7109375" style="2" customWidth="1"/>
    <col min="4581" max="4582" width="10.7109375" style="2" customWidth="1"/>
    <col min="4583" max="4833" width="11.42578125" style="2"/>
    <col min="4834" max="4834" width="20.7109375" style="2" customWidth="1"/>
    <col min="4835" max="4835" width="22.7109375" style="2" customWidth="1"/>
    <col min="4836" max="4836" width="30.7109375" style="2" customWidth="1"/>
    <col min="4837" max="4838" width="10.7109375" style="2" customWidth="1"/>
    <col min="4839" max="5089" width="11.42578125" style="2"/>
    <col min="5090" max="5090" width="20.7109375" style="2" customWidth="1"/>
    <col min="5091" max="5091" width="22.7109375" style="2" customWidth="1"/>
    <col min="5092" max="5092" width="30.7109375" style="2" customWidth="1"/>
    <col min="5093" max="5094" width="10.7109375" style="2" customWidth="1"/>
    <col min="5095" max="5345" width="11.42578125" style="2"/>
    <col min="5346" max="5346" width="20.7109375" style="2" customWidth="1"/>
    <col min="5347" max="5347" width="22.7109375" style="2" customWidth="1"/>
    <col min="5348" max="5348" width="30.7109375" style="2" customWidth="1"/>
    <col min="5349" max="5350" width="10.7109375" style="2" customWidth="1"/>
    <col min="5351" max="5601" width="11.42578125" style="2"/>
    <col min="5602" max="5602" width="20.7109375" style="2" customWidth="1"/>
    <col min="5603" max="5603" width="22.7109375" style="2" customWidth="1"/>
    <col min="5604" max="5604" width="30.7109375" style="2" customWidth="1"/>
    <col min="5605" max="5606" width="10.7109375" style="2" customWidth="1"/>
    <col min="5607" max="5857" width="11.42578125" style="2"/>
    <col min="5858" max="5858" width="20.7109375" style="2" customWidth="1"/>
    <col min="5859" max="5859" width="22.7109375" style="2" customWidth="1"/>
    <col min="5860" max="5860" width="30.7109375" style="2" customWidth="1"/>
    <col min="5861" max="5862" width="10.7109375" style="2" customWidth="1"/>
    <col min="5863" max="6113" width="11.42578125" style="2"/>
    <col min="6114" max="6114" width="20.7109375" style="2" customWidth="1"/>
    <col min="6115" max="6115" width="22.7109375" style="2" customWidth="1"/>
    <col min="6116" max="6116" width="30.7109375" style="2" customWidth="1"/>
    <col min="6117" max="6118" width="10.7109375" style="2" customWidth="1"/>
    <col min="6119" max="6369" width="11.42578125" style="2"/>
    <col min="6370" max="6370" width="20.7109375" style="2" customWidth="1"/>
    <col min="6371" max="6371" width="22.7109375" style="2" customWidth="1"/>
    <col min="6372" max="6372" width="30.7109375" style="2" customWidth="1"/>
    <col min="6373" max="6374" width="10.7109375" style="2" customWidth="1"/>
    <col min="6375" max="6625" width="11.42578125" style="2"/>
    <col min="6626" max="6626" width="20.7109375" style="2" customWidth="1"/>
    <col min="6627" max="6627" width="22.7109375" style="2" customWidth="1"/>
    <col min="6628" max="6628" width="30.7109375" style="2" customWidth="1"/>
    <col min="6629" max="6630" width="10.7109375" style="2" customWidth="1"/>
    <col min="6631" max="6881" width="11.42578125" style="2"/>
    <col min="6882" max="6882" width="20.7109375" style="2" customWidth="1"/>
    <col min="6883" max="6883" width="22.7109375" style="2" customWidth="1"/>
    <col min="6884" max="6884" width="30.7109375" style="2" customWidth="1"/>
    <col min="6885" max="6886" width="10.7109375" style="2" customWidth="1"/>
    <col min="6887" max="7137" width="11.42578125" style="2"/>
    <col min="7138" max="7138" width="20.7109375" style="2" customWidth="1"/>
    <col min="7139" max="7139" width="22.7109375" style="2" customWidth="1"/>
    <col min="7140" max="7140" width="30.7109375" style="2" customWidth="1"/>
    <col min="7141" max="7142" width="10.7109375" style="2" customWidth="1"/>
    <col min="7143" max="7393" width="11.42578125" style="2"/>
    <col min="7394" max="7394" width="20.7109375" style="2" customWidth="1"/>
    <col min="7395" max="7395" width="22.7109375" style="2" customWidth="1"/>
    <col min="7396" max="7396" width="30.7109375" style="2" customWidth="1"/>
    <col min="7397" max="7398" width="10.7109375" style="2" customWidth="1"/>
    <col min="7399" max="7649" width="11.42578125" style="2"/>
    <col min="7650" max="7650" width="20.7109375" style="2" customWidth="1"/>
    <col min="7651" max="7651" width="22.7109375" style="2" customWidth="1"/>
    <col min="7652" max="7652" width="30.7109375" style="2" customWidth="1"/>
    <col min="7653" max="7654" width="10.7109375" style="2" customWidth="1"/>
    <col min="7655" max="7905" width="11.42578125" style="2"/>
    <col min="7906" max="7906" width="20.7109375" style="2" customWidth="1"/>
    <col min="7907" max="7907" width="22.7109375" style="2" customWidth="1"/>
    <col min="7908" max="7908" width="30.7109375" style="2" customWidth="1"/>
    <col min="7909" max="7910" width="10.7109375" style="2" customWidth="1"/>
    <col min="7911" max="8161" width="11.42578125" style="2"/>
    <col min="8162" max="8162" width="20.7109375" style="2" customWidth="1"/>
    <col min="8163" max="8163" width="22.7109375" style="2" customWidth="1"/>
    <col min="8164" max="8164" width="30.7109375" style="2" customWidth="1"/>
    <col min="8165" max="8166" width="10.7109375" style="2" customWidth="1"/>
    <col min="8167" max="8417" width="11.42578125" style="2"/>
    <col min="8418" max="8418" width="20.7109375" style="2" customWidth="1"/>
    <col min="8419" max="8419" width="22.7109375" style="2" customWidth="1"/>
    <col min="8420" max="8420" width="30.7109375" style="2" customWidth="1"/>
    <col min="8421" max="8422" width="10.7109375" style="2" customWidth="1"/>
    <col min="8423" max="8673" width="11.42578125" style="2"/>
    <col min="8674" max="8674" width="20.7109375" style="2" customWidth="1"/>
    <col min="8675" max="8675" width="22.7109375" style="2" customWidth="1"/>
    <col min="8676" max="8676" width="30.7109375" style="2" customWidth="1"/>
    <col min="8677" max="8678" width="10.7109375" style="2" customWidth="1"/>
    <col min="8679" max="8929" width="11.42578125" style="2"/>
    <col min="8930" max="8930" width="20.7109375" style="2" customWidth="1"/>
    <col min="8931" max="8931" width="22.7109375" style="2" customWidth="1"/>
    <col min="8932" max="8932" width="30.7109375" style="2" customWidth="1"/>
    <col min="8933" max="8934" width="10.7109375" style="2" customWidth="1"/>
    <col min="8935" max="9185" width="11.42578125" style="2"/>
    <col min="9186" max="9186" width="20.7109375" style="2" customWidth="1"/>
    <col min="9187" max="9187" width="22.7109375" style="2" customWidth="1"/>
    <col min="9188" max="9188" width="30.7109375" style="2" customWidth="1"/>
    <col min="9189" max="9190" width="10.7109375" style="2" customWidth="1"/>
    <col min="9191" max="9441" width="11.42578125" style="2"/>
    <col min="9442" max="9442" width="20.7109375" style="2" customWidth="1"/>
    <col min="9443" max="9443" width="22.7109375" style="2" customWidth="1"/>
    <col min="9444" max="9444" width="30.7109375" style="2" customWidth="1"/>
    <col min="9445" max="9446" width="10.7109375" style="2" customWidth="1"/>
    <col min="9447" max="9697" width="11.42578125" style="2"/>
    <col min="9698" max="9698" width="20.7109375" style="2" customWidth="1"/>
    <col min="9699" max="9699" width="22.7109375" style="2" customWidth="1"/>
    <col min="9700" max="9700" width="30.7109375" style="2" customWidth="1"/>
    <col min="9701" max="9702" width="10.7109375" style="2" customWidth="1"/>
    <col min="9703" max="9953" width="11.42578125" style="2"/>
    <col min="9954" max="9954" width="20.7109375" style="2" customWidth="1"/>
    <col min="9955" max="9955" width="22.7109375" style="2" customWidth="1"/>
    <col min="9956" max="9956" width="30.7109375" style="2" customWidth="1"/>
    <col min="9957" max="9958" width="10.7109375" style="2" customWidth="1"/>
    <col min="9959" max="10209" width="11.42578125" style="2"/>
    <col min="10210" max="10210" width="20.7109375" style="2" customWidth="1"/>
    <col min="10211" max="10211" width="22.7109375" style="2" customWidth="1"/>
    <col min="10212" max="10212" width="30.7109375" style="2" customWidth="1"/>
    <col min="10213" max="10214" width="10.7109375" style="2" customWidth="1"/>
    <col min="10215" max="10465" width="11.42578125" style="2"/>
    <col min="10466" max="10466" width="20.7109375" style="2" customWidth="1"/>
    <col min="10467" max="10467" width="22.7109375" style="2" customWidth="1"/>
    <col min="10468" max="10468" width="30.7109375" style="2" customWidth="1"/>
    <col min="10469" max="10470" width="10.7109375" style="2" customWidth="1"/>
    <col min="10471" max="10721" width="11.42578125" style="2"/>
    <col min="10722" max="10722" width="20.7109375" style="2" customWidth="1"/>
    <col min="10723" max="10723" width="22.7109375" style="2" customWidth="1"/>
    <col min="10724" max="10724" width="30.7109375" style="2" customWidth="1"/>
    <col min="10725" max="10726" width="10.7109375" style="2" customWidth="1"/>
    <col min="10727" max="10977" width="11.42578125" style="2"/>
    <col min="10978" max="10978" width="20.7109375" style="2" customWidth="1"/>
    <col min="10979" max="10979" width="22.7109375" style="2" customWidth="1"/>
    <col min="10980" max="10980" width="30.7109375" style="2" customWidth="1"/>
    <col min="10981" max="10982" width="10.7109375" style="2" customWidth="1"/>
    <col min="10983" max="11233" width="11.42578125" style="2"/>
    <col min="11234" max="11234" width="20.7109375" style="2" customWidth="1"/>
    <col min="11235" max="11235" width="22.7109375" style="2" customWidth="1"/>
    <col min="11236" max="11236" width="30.7109375" style="2" customWidth="1"/>
    <col min="11237" max="11238" width="10.7109375" style="2" customWidth="1"/>
    <col min="11239" max="11489" width="11.42578125" style="2"/>
    <col min="11490" max="11490" width="20.7109375" style="2" customWidth="1"/>
    <col min="11491" max="11491" width="22.7109375" style="2" customWidth="1"/>
    <col min="11492" max="11492" width="30.7109375" style="2" customWidth="1"/>
    <col min="11493" max="11494" width="10.7109375" style="2" customWidth="1"/>
    <col min="11495" max="11745" width="11.42578125" style="2"/>
    <col min="11746" max="11746" width="20.7109375" style="2" customWidth="1"/>
    <col min="11747" max="11747" width="22.7109375" style="2" customWidth="1"/>
    <col min="11748" max="11748" width="30.7109375" style="2" customWidth="1"/>
    <col min="11749" max="11750" width="10.7109375" style="2" customWidth="1"/>
    <col min="11751" max="12001" width="11.42578125" style="2"/>
    <col min="12002" max="12002" width="20.7109375" style="2" customWidth="1"/>
    <col min="12003" max="12003" width="22.7109375" style="2" customWidth="1"/>
    <col min="12004" max="12004" width="30.7109375" style="2" customWidth="1"/>
    <col min="12005" max="12006" width="10.7109375" style="2" customWidth="1"/>
    <col min="12007" max="12257" width="11.42578125" style="2"/>
    <col min="12258" max="12258" width="20.7109375" style="2" customWidth="1"/>
    <col min="12259" max="12259" width="22.7109375" style="2" customWidth="1"/>
    <col min="12260" max="12260" width="30.7109375" style="2" customWidth="1"/>
    <col min="12261" max="12262" width="10.7109375" style="2" customWidth="1"/>
    <col min="12263" max="12513" width="11.42578125" style="2"/>
    <col min="12514" max="12514" width="20.7109375" style="2" customWidth="1"/>
    <col min="12515" max="12515" width="22.7109375" style="2" customWidth="1"/>
    <col min="12516" max="12516" width="30.7109375" style="2" customWidth="1"/>
    <col min="12517" max="12518" width="10.7109375" style="2" customWidth="1"/>
    <col min="12519" max="12769" width="11.42578125" style="2"/>
    <col min="12770" max="12770" width="20.7109375" style="2" customWidth="1"/>
    <col min="12771" max="12771" width="22.7109375" style="2" customWidth="1"/>
    <col min="12772" max="12772" width="30.7109375" style="2" customWidth="1"/>
    <col min="12773" max="12774" width="10.7109375" style="2" customWidth="1"/>
    <col min="12775" max="13025" width="11.42578125" style="2"/>
    <col min="13026" max="13026" width="20.7109375" style="2" customWidth="1"/>
    <col min="13027" max="13027" width="22.7109375" style="2" customWidth="1"/>
    <col min="13028" max="13028" width="30.7109375" style="2" customWidth="1"/>
    <col min="13029" max="13030" width="10.7109375" style="2" customWidth="1"/>
    <col min="13031" max="13281" width="11.42578125" style="2"/>
    <col min="13282" max="13282" width="20.7109375" style="2" customWidth="1"/>
    <col min="13283" max="13283" width="22.7109375" style="2" customWidth="1"/>
    <col min="13284" max="13284" width="30.7109375" style="2" customWidth="1"/>
    <col min="13285" max="13286" width="10.7109375" style="2" customWidth="1"/>
    <col min="13287" max="13537" width="11.42578125" style="2"/>
    <col min="13538" max="13538" width="20.7109375" style="2" customWidth="1"/>
    <col min="13539" max="13539" width="22.7109375" style="2" customWidth="1"/>
    <col min="13540" max="13540" width="30.7109375" style="2" customWidth="1"/>
    <col min="13541" max="13542" width="10.7109375" style="2" customWidth="1"/>
    <col min="13543" max="13793" width="11.42578125" style="2"/>
    <col min="13794" max="13794" width="20.7109375" style="2" customWidth="1"/>
    <col min="13795" max="13795" width="22.7109375" style="2" customWidth="1"/>
    <col min="13796" max="13796" width="30.7109375" style="2" customWidth="1"/>
    <col min="13797" max="13798" width="10.7109375" style="2" customWidth="1"/>
    <col min="13799" max="14049" width="11.42578125" style="2"/>
    <col min="14050" max="14050" width="20.7109375" style="2" customWidth="1"/>
    <col min="14051" max="14051" width="22.7109375" style="2" customWidth="1"/>
    <col min="14052" max="14052" width="30.7109375" style="2" customWidth="1"/>
    <col min="14053" max="14054" width="10.7109375" style="2" customWidth="1"/>
    <col min="14055" max="14305" width="11.42578125" style="2"/>
    <col min="14306" max="14306" width="20.7109375" style="2" customWidth="1"/>
    <col min="14307" max="14307" width="22.7109375" style="2" customWidth="1"/>
    <col min="14308" max="14308" width="30.7109375" style="2" customWidth="1"/>
    <col min="14309" max="14310" width="10.7109375" style="2" customWidth="1"/>
    <col min="14311" max="14561" width="11.42578125" style="2"/>
    <col min="14562" max="14562" width="20.7109375" style="2" customWidth="1"/>
    <col min="14563" max="14563" width="22.7109375" style="2" customWidth="1"/>
    <col min="14564" max="14564" width="30.7109375" style="2" customWidth="1"/>
    <col min="14565" max="14566" width="10.7109375" style="2" customWidth="1"/>
    <col min="14567" max="14817" width="11.42578125" style="2"/>
    <col min="14818" max="14818" width="20.7109375" style="2" customWidth="1"/>
    <col min="14819" max="14819" width="22.7109375" style="2" customWidth="1"/>
    <col min="14820" max="14820" width="30.7109375" style="2" customWidth="1"/>
    <col min="14821" max="14822" width="10.7109375" style="2" customWidth="1"/>
    <col min="14823" max="15073" width="11.42578125" style="2"/>
    <col min="15074" max="15074" width="20.7109375" style="2" customWidth="1"/>
    <col min="15075" max="15075" width="22.7109375" style="2" customWidth="1"/>
    <col min="15076" max="15076" width="30.7109375" style="2" customWidth="1"/>
    <col min="15077" max="15078" width="10.7109375" style="2" customWidth="1"/>
    <col min="15079" max="15329" width="11.42578125" style="2"/>
    <col min="15330" max="15330" width="20.7109375" style="2" customWidth="1"/>
    <col min="15331" max="15331" width="22.7109375" style="2" customWidth="1"/>
    <col min="15332" max="15332" width="30.7109375" style="2" customWidth="1"/>
    <col min="15333" max="15334" width="10.7109375" style="2" customWidth="1"/>
    <col min="15335" max="15585" width="11.42578125" style="2"/>
    <col min="15586" max="15586" width="20.7109375" style="2" customWidth="1"/>
    <col min="15587" max="15587" width="22.7109375" style="2" customWidth="1"/>
    <col min="15588" max="15588" width="30.7109375" style="2" customWidth="1"/>
    <col min="15589" max="15590" width="10.7109375" style="2" customWidth="1"/>
    <col min="15591" max="15841" width="11.42578125" style="2"/>
    <col min="15842" max="15842" width="20.7109375" style="2" customWidth="1"/>
    <col min="15843" max="15843" width="22.7109375" style="2" customWidth="1"/>
    <col min="15844" max="15844" width="30.7109375" style="2" customWidth="1"/>
    <col min="15845" max="15846" width="10.7109375" style="2" customWidth="1"/>
    <col min="15847" max="16097" width="11.42578125" style="2"/>
    <col min="16098" max="16098" width="20.7109375" style="2" customWidth="1"/>
    <col min="16099" max="16099" width="22.7109375" style="2" customWidth="1"/>
    <col min="16100" max="16100" width="30.7109375" style="2" customWidth="1"/>
    <col min="16101" max="16102" width="10.7109375" style="2" customWidth="1"/>
    <col min="16103" max="16384" width="11.42578125" style="2"/>
  </cols>
  <sheetData>
    <row r="4" spans="2:10" x14ac:dyDescent="0.2">
      <c r="B4" s="1"/>
      <c r="C4" s="116"/>
      <c r="D4" s="116"/>
      <c r="E4" s="116"/>
      <c r="F4" s="116"/>
    </row>
    <row r="5" spans="2:10" ht="15.75" x14ac:dyDescent="0.2">
      <c r="B5" s="117" t="s">
        <v>0</v>
      </c>
      <c r="C5" s="117"/>
      <c r="D5" s="117"/>
      <c r="E5" s="48"/>
      <c r="F5" s="48"/>
    </row>
    <row r="6" spans="2:10" x14ac:dyDescent="0.2">
      <c r="B6" s="116" t="s">
        <v>1</v>
      </c>
      <c r="C6" s="116"/>
      <c r="D6" s="116"/>
      <c r="E6" s="1"/>
      <c r="F6" s="1"/>
    </row>
    <row r="7" spans="2:10" ht="15.75" thickBot="1" x14ac:dyDescent="0.25">
      <c r="B7" s="118" t="s">
        <v>62</v>
      </c>
      <c r="C7" s="118"/>
      <c r="D7" s="118"/>
      <c r="E7" s="49"/>
      <c r="F7" s="49"/>
    </row>
    <row r="8" spans="2:10" ht="15.75" x14ac:dyDescent="0.25">
      <c r="B8" s="136" t="s">
        <v>21</v>
      </c>
      <c r="C8" s="136"/>
      <c r="D8" s="137"/>
      <c r="E8" s="3" t="s">
        <v>3</v>
      </c>
      <c r="F8" s="4"/>
      <c r="G8" s="5"/>
      <c r="H8" s="5"/>
    </row>
    <row r="9" spans="2:10" ht="15.75" x14ac:dyDescent="0.25">
      <c r="B9" s="41"/>
      <c r="C9" s="135"/>
      <c r="D9" s="135"/>
      <c r="E9" s="6" t="s">
        <v>4</v>
      </c>
      <c r="F9" s="7"/>
      <c r="G9" s="5"/>
      <c r="H9" s="5"/>
    </row>
    <row r="10" spans="2:10" s="13" customFormat="1" ht="16.5" thickBot="1" x14ac:dyDescent="0.3">
      <c r="B10" s="42" t="s">
        <v>5</v>
      </c>
      <c r="C10" s="42"/>
      <c r="D10" s="43"/>
      <c r="E10" s="10" t="s">
        <v>6</v>
      </c>
      <c r="F10" s="11"/>
      <c r="G10" s="12"/>
      <c r="H10" s="12"/>
    </row>
    <row r="11" spans="2:10" s="13" customFormat="1" ht="15.75" x14ac:dyDescent="0.25">
      <c r="B11" s="44" t="s">
        <v>7</v>
      </c>
      <c r="C11" s="45"/>
      <c r="D11" s="46"/>
      <c r="E11" s="17"/>
      <c r="F11" s="18"/>
      <c r="G11" s="12"/>
      <c r="H11" s="12"/>
    </row>
    <row r="12" spans="2:10" s="19" customFormat="1" ht="18" customHeight="1" thickBot="1" x14ac:dyDescent="0.3">
      <c r="B12" s="47"/>
      <c r="C12" s="47"/>
      <c r="D12" s="47"/>
      <c r="E12" s="122" t="s">
        <v>8</v>
      </c>
      <c r="F12" s="122"/>
    </row>
    <row r="13" spans="2:10" s="21" customFormat="1" x14ac:dyDescent="0.25">
      <c r="B13" s="138" t="s">
        <v>9</v>
      </c>
      <c r="C13" s="140" t="s">
        <v>19</v>
      </c>
      <c r="D13" s="142" t="s">
        <v>20</v>
      </c>
      <c r="E13" s="144" t="s">
        <v>12</v>
      </c>
      <c r="F13" s="145"/>
      <c r="G13" s="57"/>
      <c r="H13" s="58" t="s">
        <v>12</v>
      </c>
      <c r="J13" s="61"/>
    </row>
    <row r="14" spans="2:10" s="22" customFormat="1" ht="13.5" thickBot="1" x14ac:dyDescent="0.25">
      <c r="B14" s="139"/>
      <c r="C14" s="141"/>
      <c r="D14" s="143"/>
      <c r="E14" s="56" t="s">
        <v>27</v>
      </c>
      <c r="F14" s="59" t="s">
        <v>25</v>
      </c>
      <c r="G14" s="60"/>
      <c r="H14" s="59" t="s">
        <v>26</v>
      </c>
    </row>
    <row r="15" spans="2:10" ht="15" customHeight="1" x14ac:dyDescent="0.25">
      <c r="B15" s="178" t="s">
        <v>63</v>
      </c>
      <c r="C15" s="177" t="s">
        <v>64</v>
      </c>
      <c r="D15" s="177" t="s">
        <v>65</v>
      </c>
      <c r="E15" s="162" t="s">
        <v>12</v>
      </c>
      <c r="F15" s="179"/>
      <c r="G15" s="180"/>
      <c r="H15" s="181"/>
    </row>
    <row r="16" spans="2:10" ht="15" customHeight="1" x14ac:dyDescent="0.25">
      <c r="B16" s="178" t="s">
        <v>66</v>
      </c>
      <c r="C16" s="157" t="s">
        <v>67</v>
      </c>
      <c r="D16" s="157" t="s">
        <v>68</v>
      </c>
      <c r="E16" s="163">
        <v>1</v>
      </c>
      <c r="F16" s="182">
        <v>350</v>
      </c>
      <c r="G16" s="180"/>
      <c r="H16" s="183">
        <f>E16*F16</f>
        <v>350</v>
      </c>
    </row>
    <row r="17" spans="2:8" ht="15" customHeight="1" x14ac:dyDescent="0.25">
      <c r="B17" s="178" t="s">
        <v>69</v>
      </c>
      <c r="C17" s="157" t="s">
        <v>64</v>
      </c>
      <c r="D17" s="157" t="s">
        <v>70</v>
      </c>
      <c r="E17" s="163"/>
      <c r="F17" s="182"/>
      <c r="G17" s="180"/>
      <c r="H17" s="183">
        <f t="shared" ref="H17:H80" si="0">E17*F17</f>
        <v>0</v>
      </c>
    </row>
    <row r="18" spans="2:8" ht="15" customHeight="1" x14ac:dyDescent="0.25">
      <c r="B18" s="178" t="s">
        <v>71</v>
      </c>
      <c r="C18" s="157" t="s">
        <v>72</v>
      </c>
      <c r="D18" s="157" t="s">
        <v>73</v>
      </c>
      <c r="E18" s="163">
        <f>28+2650</f>
        <v>2678</v>
      </c>
      <c r="F18" s="182">
        <v>33</v>
      </c>
      <c r="G18" s="180"/>
      <c r="H18" s="183">
        <f t="shared" si="0"/>
        <v>88374</v>
      </c>
    </row>
    <row r="19" spans="2:8" ht="15" customHeight="1" x14ac:dyDescent="0.25">
      <c r="B19" s="178" t="s">
        <v>74</v>
      </c>
      <c r="C19" s="157" t="s">
        <v>75</v>
      </c>
      <c r="D19" s="157" t="s">
        <v>76</v>
      </c>
      <c r="E19" s="163">
        <v>3</v>
      </c>
      <c r="F19" s="182">
        <v>509</v>
      </c>
      <c r="G19" s="180"/>
      <c r="H19" s="183">
        <f t="shared" si="0"/>
        <v>1527</v>
      </c>
    </row>
    <row r="20" spans="2:8" ht="15" customHeight="1" x14ac:dyDescent="0.25">
      <c r="B20" s="178" t="s">
        <v>77</v>
      </c>
      <c r="C20" s="157" t="s">
        <v>78</v>
      </c>
      <c r="D20" s="157" t="s">
        <v>79</v>
      </c>
      <c r="E20" s="163"/>
      <c r="F20" s="182"/>
      <c r="G20" s="180"/>
      <c r="H20" s="183">
        <f t="shared" si="0"/>
        <v>0</v>
      </c>
    </row>
    <row r="21" spans="2:8" ht="15" customHeight="1" x14ac:dyDescent="0.25">
      <c r="B21" s="178" t="s">
        <v>80</v>
      </c>
      <c r="C21" s="157" t="s">
        <v>81</v>
      </c>
      <c r="D21" s="157" t="s">
        <v>79</v>
      </c>
      <c r="E21" s="163"/>
      <c r="F21" s="182"/>
      <c r="G21" s="180"/>
      <c r="H21" s="183">
        <f t="shared" si="0"/>
        <v>0</v>
      </c>
    </row>
    <row r="22" spans="2:8" ht="15" customHeight="1" x14ac:dyDescent="0.25">
      <c r="B22" s="178" t="s">
        <v>82</v>
      </c>
      <c r="C22" s="157" t="s">
        <v>83</v>
      </c>
      <c r="D22" s="157" t="s">
        <v>84</v>
      </c>
      <c r="E22" s="163">
        <v>303</v>
      </c>
      <c r="F22" s="182">
        <v>10</v>
      </c>
      <c r="G22" s="180"/>
      <c r="H22" s="183">
        <f t="shared" si="0"/>
        <v>3030</v>
      </c>
    </row>
    <row r="23" spans="2:8" ht="15" customHeight="1" x14ac:dyDescent="0.25">
      <c r="B23" s="178" t="s">
        <v>85</v>
      </c>
      <c r="C23" s="157" t="s">
        <v>86</v>
      </c>
      <c r="D23" s="157" t="s">
        <v>87</v>
      </c>
      <c r="E23" s="163">
        <v>51</v>
      </c>
      <c r="F23" s="182"/>
      <c r="G23" s="180"/>
      <c r="H23" s="183">
        <f t="shared" si="0"/>
        <v>0</v>
      </c>
    </row>
    <row r="24" spans="2:8" ht="15" customHeight="1" x14ac:dyDescent="0.25">
      <c r="B24" s="178" t="s">
        <v>88</v>
      </c>
      <c r="C24" s="157" t="s">
        <v>89</v>
      </c>
      <c r="D24" s="157" t="s">
        <v>90</v>
      </c>
      <c r="E24" s="163"/>
      <c r="F24" s="182"/>
      <c r="G24" s="180"/>
      <c r="H24" s="183">
        <f t="shared" si="0"/>
        <v>0</v>
      </c>
    </row>
    <row r="25" spans="2:8" ht="15" customHeight="1" x14ac:dyDescent="0.25">
      <c r="B25" s="178" t="s">
        <v>91</v>
      </c>
      <c r="C25" s="157" t="s">
        <v>92</v>
      </c>
      <c r="D25" s="157" t="s">
        <v>93</v>
      </c>
      <c r="E25" s="163">
        <v>266</v>
      </c>
      <c r="F25" s="182">
        <v>29.18</v>
      </c>
      <c r="G25" s="180"/>
      <c r="H25" s="183">
        <f t="shared" si="0"/>
        <v>7761.88</v>
      </c>
    </row>
    <row r="26" spans="2:8" ht="15" customHeight="1" x14ac:dyDescent="0.25">
      <c r="B26" s="178" t="s">
        <v>94</v>
      </c>
      <c r="C26" s="157" t="s">
        <v>92</v>
      </c>
      <c r="D26" s="157" t="s">
        <v>95</v>
      </c>
      <c r="E26" s="163">
        <v>297</v>
      </c>
      <c r="F26" s="182">
        <v>29.18</v>
      </c>
      <c r="G26" s="180"/>
      <c r="H26" s="183">
        <f t="shared" si="0"/>
        <v>8666.4599999999991</v>
      </c>
    </row>
    <row r="27" spans="2:8" ht="15" customHeight="1" x14ac:dyDescent="0.25">
      <c r="B27" s="178" t="s">
        <v>96</v>
      </c>
      <c r="C27" s="157" t="s">
        <v>97</v>
      </c>
      <c r="D27" s="157" t="s">
        <v>98</v>
      </c>
      <c r="E27" s="163">
        <v>0</v>
      </c>
      <c r="F27" s="182">
        <v>24</v>
      </c>
      <c r="G27" s="180"/>
      <c r="H27" s="183">
        <f t="shared" si="0"/>
        <v>0</v>
      </c>
    </row>
    <row r="28" spans="2:8" ht="15" customHeight="1" x14ac:dyDescent="0.25">
      <c r="B28" s="178" t="s">
        <v>99</v>
      </c>
      <c r="C28" s="157" t="s">
        <v>100</v>
      </c>
      <c r="D28" s="157" t="s">
        <v>101</v>
      </c>
      <c r="E28" s="163">
        <v>160</v>
      </c>
      <c r="F28" s="182">
        <v>2.85</v>
      </c>
      <c r="G28" s="180"/>
      <c r="H28" s="183">
        <f t="shared" si="0"/>
        <v>456</v>
      </c>
    </row>
    <row r="29" spans="2:8" ht="15" customHeight="1" x14ac:dyDescent="0.25">
      <c r="B29" s="178" t="s">
        <v>102</v>
      </c>
      <c r="C29" s="157" t="s">
        <v>103</v>
      </c>
      <c r="D29" s="157" t="s">
        <v>104</v>
      </c>
      <c r="E29" s="163"/>
      <c r="F29" s="182"/>
      <c r="G29" s="180"/>
      <c r="H29" s="183">
        <f t="shared" si="0"/>
        <v>0</v>
      </c>
    </row>
    <row r="30" spans="2:8" ht="15" customHeight="1" x14ac:dyDescent="0.25">
      <c r="B30" s="178" t="s">
        <v>105</v>
      </c>
      <c r="C30" s="157" t="s">
        <v>103</v>
      </c>
      <c r="D30" s="157" t="s">
        <v>106</v>
      </c>
      <c r="E30" s="163"/>
      <c r="F30" s="182"/>
      <c r="G30" s="180"/>
      <c r="H30" s="183">
        <f t="shared" si="0"/>
        <v>0</v>
      </c>
    </row>
    <row r="31" spans="2:8" ht="15" customHeight="1" x14ac:dyDescent="0.25">
      <c r="B31" s="178" t="s">
        <v>107</v>
      </c>
      <c r="C31" s="157" t="s">
        <v>103</v>
      </c>
      <c r="D31" s="157" t="s">
        <v>108</v>
      </c>
      <c r="E31" s="163"/>
      <c r="F31" s="183"/>
      <c r="G31" s="180"/>
      <c r="H31" s="183">
        <f t="shared" si="0"/>
        <v>0</v>
      </c>
    </row>
    <row r="32" spans="2:8" ht="15" customHeight="1" x14ac:dyDescent="0.25">
      <c r="B32" s="178" t="s">
        <v>109</v>
      </c>
      <c r="C32" s="157" t="s">
        <v>103</v>
      </c>
      <c r="D32" s="157" t="s">
        <v>110</v>
      </c>
      <c r="E32" s="163"/>
      <c r="F32" s="183"/>
      <c r="G32" s="180"/>
      <c r="H32" s="183">
        <f t="shared" si="0"/>
        <v>0</v>
      </c>
    </row>
    <row r="33" spans="2:8" ht="15" customHeight="1" x14ac:dyDescent="0.25">
      <c r="B33" s="178" t="s">
        <v>111</v>
      </c>
      <c r="C33" s="157" t="s">
        <v>112</v>
      </c>
      <c r="D33" s="157" t="s">
        <v>113</v>
      </c>
      <c r="E33" s="163"/>
      <c r="F33" s="183"/>
      <c r="G33" s="180"/>
      <c r="H33" s="183">
        <f t="shared" si="0"/>
        <v>0</v>
      </c>
    </row>
    <row r="34" spans="2:8" ht="15" customHeight="1" x14ac:dyDescent="0.25">
      <c r="B34" s="178" t="s">
        <v>114</v>
      </c>
      <c r="C34" s="157" t="s">
        <v>115</v>
      </c>
      <c r="D34" s="157" t="s">
        <v>116</v>
      </c>
      <c r="E34" s="163"/>
      <c r="F34" s="183"/>
      <c r="G34" s="180"/>
      <c r="H34" s="183">
        <f t="shared" si="0"/>
        <v>0</v>
      </c>
    </row>
    <row r="35" spans="2:8" ht="15" customHeight="1" x14ac:dyDescent="0.25">
      <c r="B35" s="178" t="s">
        <v>117</v>
      </c>
      <c r="C35" s="157" t="s">
        <v>115</v>
      </c>
      <c r="D35" s="157" t="s">
        <v>118</v>
      </c>
      <c r="E35" s="163"/>
      <c r="F35" s="183"/>
      <c r="G35" s="180"/>
      <c r="H35" s="183">
        <f t="shared" si="0"/>
        <v>0</v>
      </c>
    </row>
    <row r="36" spans="2:8" ht="15" customHeight="1" x14ac:dyDescent="0.25">
      <c r="B36" s="178" t="s">
        <v>119</v>
      </c>
      <c r="C36" s="157" t="s">
        <v>120</v>
      </c>
      <c r="D36" s="157" t="s">
        <v>70</v>
      </c>
      <c r="E36" s="163">
        <f>12+10</f>
        <v>22</v>
      </c>
      <c r="F36" s="183">
        <v>320</v>
      </c>
      <c r="G36" s="180"/>
      <c r="H36" s="183">
        <f t="shared" si="0"/>
        <v>7040</v>
      </c>
    </row>
    <row r="37" spans="2:8" ht="15" customHeight="1" x14ac:dyDescent="0.25">
      <c r="B37" s="178" t="s">
        <v>121</v>
      </c>
      <c r="C37" s="157" t="s">
        <v>122</v>
      </c>
      <c r="D37" s="157" t="s">
        <v>123</v>
      </c>
      <c r="E37" s="163">
        <f>13+56</f>
        <v>69</v>
      </c>
      <c r="F37" s="183">
        <v>75.040000000000006</v>
      </c>
      <c r="G37" s="180"/>
      <c r="H37" s="183">
        <f t="shared" si="0"/>
        <v>5177.76</v>
      </c>
    </row>
    <row r="38" spans="2:8" ht="15" customHeight="1" x14ac:dyDescent="0.25">
      <c r="B38" s="178" t="s">
        <v>124</v>
      </c>
      <c r="C38" s="157" t="s">
        <v>122</v>
      </c>
      <c r="D38" s="157" t="s">
        <v>125</v>
      </c>
      <c r="E38" s="163">
        <f>24+14</f>
        <v>38</v>
      </c>
      <c r="F38" s="183">
        <v>119.88</v>
      </c>
      <c r="G38" s="180"/>
      <c r="H38" s="183">
        <f t="shared" si="0"/>
        <v>4555.4399999999996</v>
      </c>
    </row>
    <row r="39" spans="2:8" ht="15" customHeight="1" x14ac:dyDescent="0.25">
      <c r="B39" s="178" t="s">
        <v>126</v>
      </c>
      <c r="C39" s="157" t="s">
        <v>122</v>
      </c>
      <c r="D39" s="157" t="s">
        <v>127</v>
      </c>
      <c r="E39" s="163">
        <f>6+56</f>
        <v>62</v>
      </c>
      <c r="F39" s="183">
        <v>188.5</v>
      </c>
      <c r="G39" s="180"/>
      <c r="H39" s="183">
        <f t="shared" si="0"/>
        <v>11687</v>
      </c>
    </row>
    <row r="40" spans="2:8" ht="15" customHeight="1" x14ac:dyDescent="0.25">
      <c r="B40" s="178" t="s">
        <v>128</v>
      </c>
      <c r="C40" s="157" t="s">
        <v>122</v>
      </c>
      <c r="D40" s="157" t="s">
        <v>129</v>
      </c>
      <c r="E40" s="163">
        <f>17+11</f>
        <v>28</v>
      </c>
      <c r="F40" s="183">
        <v>233.05</v>
      </c>
      <c r="G40" s="180"/>
      <c r="H40" s="183">
        <f t="shared" si="0"/>
        <v>6525.4000000000005</v>
      </c>
    </row>
    <row r="41" spans="2:8" ht="15" customHeight="1" x14ac:dyDescent="0.25">
      <c r="B41" s="178" t="s">
        <v>130</v>
      </c>
      <c r="C41" s="157" t="s">
        <v>122</v>
      </c>
      <c r="D41" s="157" t="s">
        <v>131</v>
      </c>
      <c r="E41" s="163">
        <f>11+20</f>
        <v>31</v>
      </c>
      <c r="F41" s="183">
        <v>463.35</v>
      </c>
      <c r="G41" s="180"/>
      <c r="H41" s="183">
        <f t="shared" si="0"/>
        <v>14363.85</v>
      </c>
    </row>
    <row r="42" spans="2:8" ht="15" customHeight="1" x14ac:dyDescent="0.25">
      <c r="B42" s="178" t="s">
        <v>132</v>
      </c>
      <c r="C42" s="157" t="s">
        <v>133</v>
      </c>
      <c r="D42" s="157" t="s">
        <v>134</v>
      </c>
      <c r="E42" s="163">
        <f>5+10</f>
        <v>15</v>
      </c>
      <c r="F42" s="183">
        <v>5406.8</v>
      </c>
      <c r="G42" s="180"/>
      <c r="H42" s="183">
        <f t="shared" si="0"/>
        <v>81102</v>
      </c>
    </row>
    <row r="43" spans="2:8" ht="15" customHeight="1" x14ac:dyDescent="0.25">
      <c r="B43" s="178" t="s">
        <v>135</v>
      </c>
      <c r="C43" s="157" t="s">
        <v>133</v>
      </c>
      <c r="D43" s="157" t="s">
        <v>136</v>
      </c>
      <c r="E43" s="163">
        <v>9</v>
      </c>
      <c r="F43" s="183">
        <v>4860</v>
      </c>
      <c r="G43" s="180"/>
      <c r="H43" s="183">
        <f t="shared" si="0"/>
        <v>43740</v>
      </c>
    </row>
    <row r="44" spans="2:8" ht="15" customHeight="1" x14ac:dyDescent="0.25">
      <c r="B44" s="178" t="s">
        <v>137</v>
      </c>
      <c r="C44" s="157" t="s">
        <v>133</v>
      </c>
      <c r="D44" s="157" t="s">
        <v>138</v>
      </c>
      <c r="E44" s="163">
        <v>10</v>
      </c>
      <c r="F44" s="183">
        <v>4860</v>
      </c>
      <c r="G44" s="180"/>
      <c r="H44" s="183">
        <f t="shared" si="0"/>
        <v>48600</v>
      </c>
    </row>
    <row r="45" spans="2:8" ht="15" customHeight="1" x14ac:dyDescent="0.25">
      <c r="B45" s="178" t="s">
        <v>139</v>
      </c>
      <c r="C45" s="157" t="s">
        <v>133</v>
      </c>
      <c r="D45" s="157" t="s">
        <v>140</v>
      </c>
      <c r="E45" s="163">
        <v>8</v>
      </c>
      <c r="F45" s="183">
        <v>4860</v>
      </c>
      <c r="G45" s="180"/>
      <c r="H45" s="183">
        <f t="shared" si="0"/>
        <v>38880</v>
      </c>
    </row>
    <row r="46" spans="2:8" ht="15" customHeight="1" x14ac:dyDescent="0.25">
      <c r="B46" s="178" t="s">
        <v>141</v>
      </c>
      <c r="C46" s="157" t="s">
        <v>133</v>
      </c>
      <c r="D46" s="157" t="s">
        <v>142</v>
      </c>
      <c r="E46" s="163">
        <f>9+107</f>
        <v>116</v>
      </c>
      <c r="F46" s="183">
        <v>2091</v>
      </c>
      <c r="G46" s="180"/>
      <c r="H46" s="183">
        <f t="shared" si="0"/>
        <v>242556</v>
      </c>
    </row>
    <row r="47" spans="2:8" ht="15" customHeight="1" x14ac:dyDescent="0.25">
      <c r="B47" s="178" t="s">
        <v>143</v>
      </c>
      <c r="C47" s="157" t="s">
        <v>133</v>
      </c>
      <c r="D47" s="157" t="s">
        <v>144</v>
      </c>
      <c r="E47" s="163">
        <f>10+30</f>
        <v>40</v>
      </c>
      <c r="F47" s="183">
        <v>3481</v>
      </c>
      <c r="G47" s="180"/>
      <c r="H47" s="183">
        <f t="shared" si="0"/>
        <v>139240</v>
      </c>
    </row>
    <row r="48" spans="2:8" ht="15" customHeight="1" x14ac:dyDescent="0.25">
      <c r="B48" s="178" t="s">
        <v>145</v>
      </c>
      <c r="C48" s="157" t="s">
        <v>133</v>
      </c>
      <c r="D48" s="157" t="s">
        <v>146</v>
      </c>
      <c r="E48" s="163">
        <v>15</v>
      </c>
      <c r="F48" s="183">
        <v>2592.6</v>
      </c>
      <c r="G48" s="180"/>
      <c r="H48" s="183">
        <f t="shared" si="0"/>
        <v>38889</v>
      </c>
    </row>
    <row r="49" spans="2:8" ht="15" customHeight="1" x14ac:dyDescent="0.25">
      <c r="B49" s="178" t="s">
        <v>147</v>
      </c>
      <c r="C49" s="157" t="s">
        <v>133</v>
      </c>
      <c r="D49" s="157" t="s">
        <v>148</v>
      </c>
      <c r="E49" s="163">
        <v>16</v>
      </c>
      <c r="F49" s="183">
        <v>7316</v>
      </c>
      <c r="G49" s="180"/>
      <c r="H49" s="183">
        <f t="shared" si="0"/>
        <v>117056</v>
      </c>
    </row>
    <row r="50" spans="2:8" ht="15" customHeight="1" x14ac:dyDescent="0.25">
      <c r="B50" s="178" t="s">
        <v>149</v>
      </c>
      <c r="C50" s="157" t="s">
        <v>133</v>
      </c>
      <c r="D50" s="157" t="s">
        <v>150</v>
      </c>
      <c r="E50" s="163">
        <f>7+19</f>
        <v>26</v>
      </c>
      <c r="F50" s="183">
        <v>5360.74</v>
      </c>
      <c r="G50" s="180"/>
      <c r="H50" s="183">
        <f t="shared" si="0"/>
        <v>139379.24</v>
      </c>
    </row>
    <row r="51" spans="2:8" ht="15" customHeight="1" x14ac:dyDescent="0.25">
      <c r="B51" s="178" t="s">
        <v>151</v>
      </c>
      <c r="C51" s="157" t="s">
        <v>133</v>
      </c>
      <c r="D51" s="157" t="s">
        <v>152</v>
      </c>
      <c r="E51" s="163">
        <f>4+10</f>
        <v>14</v>
      </c>
      <c r="F51" s="183">
        <v>6405.04</v>
      </c>
      <c r="G51" s="180"/>
      <c r="H51" s="183">
        <f t="shared" si="0"/>
        <v>89670.56</v>
      </c>
    </row>
    <row r="52" spans="2:8" ht="15" customHeight="1" x14ac:dyDescent="0.25">
      <c r="B52" s="178" t="s">
        <v>153</v>
      </c>
      <c r="C52" s="157" t="s">
        <v>133</v>
      </c>
      <c r="D52" s="157" t="s">
        <v>154</v>
      </c>
      <c r="E52" s="163">
        <f>4+25</f>
        <v>29</v>
      </c>
      <c r="F52" s="183">
        <v>6613.9</v>
      </c>
      <c r="G52" s="180"/>
      <c r="H52" s="183">
        <f t="shared" si="0"/>
        <v>191803.09999999998</v>
      </c>
    </row>
    <row r="53" spans="2:8" ht="15" customHeight="1" x14ac:dyDescent="0.25">
      <c r="B53" s="178" t="s">
        <v>155</v>
      </c>
      <c r="C53" s="157" t="s">
        <v>133</v>
      </c>
      <c r="D53" s="157" t="s">
        <v>156</v>
      </c>
      <c r="E53" s="163">
        <f>6+18</f>
        <v>24</v>
      </c>
      <c r="F53" s="183">
        <v>4664.54</v>
      </c>
      <c r="G53" s="180"/>
      <c r="H53" s="183">
        <f t="shared" si="0"/>
        <v>111948.95999999999</v>
      </c>
    </row>
    <row r="54" spans="2:8" ht="15" customHeight="1" x14ac:dyDescent="0.25">
      <c r="B54" s="178" t="s">
        <v>157</v>
      </c>
      <c r="C54" s="157" t="s">
        <v>133</v>
      </c>
      <c r="D54" s="157" t="s">
        <v>158</v>
      </c>
      <c r="E54" s="163">
        <f>8+18</f>
        <v>26</v>
      </c>
      <c r="F54" s="183">
        <v>4664.54</v>
      </c>
      <c r="G54" s="180"/>
      <c r="H54" s="183">
        <f t="shared" si="0"/>
        <v>121278.04</v>
      </c>
    </row>
    <row r="55" spans="2:8" ht="15" customHeight="1" x14ac:dyDescent="0.25">
      <c r="B55" s="178" t="s">
        <v>159</v>
      </c>
      <c r="C55" s="157" t="s">
        <v>133</v>
      </c>
      <c r="D55" s="157" t="s">
        <v>160</v>
      </c>
      <c r="E55" s="163">
        <f>8+18</f>
        <v>26</v>
      </c>
      <c r="F55" s="183">
        <v>4664.54</v>
      </c>
      <c r="G55" s="180"/>
      <c r="H55" s="183">
        <f t="shared" si="0"/>
        <v>121278.04</v>
      </c>
    </row>
    <row r="56" spans="2:8" ht="15" customHeight="1" x14ac:dyDescent="0.25">
      <c r="B56" s="178" t="s">
        <v>161</v>
      </c>
      <c r="C56" s="157" t="s">
        <v>133</v>
      </c>
      <c r="D56" s="157" t="s">
        <v>162</v>
      </c>
      <c r="E56" s="163">
        <f>8+18</f>
        <v>26</v>
      </c>
      <c r="F56" s="183">
        <v>4664.54</v>
      </c>
      <c r="G56" s="180"/>
      <c r="H56" s="183">
        <f t="shared" si="0"/>
        <v>121278.04</v>
      </c>
    </row>
    <row r="57" spans="2:8" ht="15" customHeight="1" x14ac:dyDescent="0.25">
      <c r="B57" s="178" t="s">
        <v>163</v>
      </c>
      <c r="C57" s="157" t="s">
        <v>133</v>
      </c>
      <c r="D57" s="157" t="s">
        <v>164</v>
      </c>
      <c r="E57" s="163">
        <f>2+47</f>
        <v>49</v>
      </c>
      <c r="F57" s="164">
        <v>2479</v>
      </c>
      <c r="G57" s="180"/>
      <c r="H57" s="183">
        <f t="shared" si="0"/>
        <v>121471</v>
      </c>
    </row>
    <row r="58" spans="2:8" ht="15" customHeight="1" x14ac:dyDescent="0.25">
      <c r="B58" s="178" t="s">
        <v>165</v>
      </c>
      <c r="C58" s="157" t="s">
        <v>133</v>
      </c>
      <c r="D58" s="157" t="s">
        <v>166</v>
      </c>
      <c r="E58" s="163">
        <f>6+45</f>
        <v>51</v>
      </c>
      <c r="F58" s="183">
        <v>4794.8999999999996</v>
      </c>
      <c r="G58" s="180"/>
      <c r="H58" s="183">
        <f t="shared" si="0"/>
        <v>244539.9</v>
      </c>
    </row>
    <row r="59" spans="2:8" ht="15" customHeight="1" x14ac:dyDescent="0.25">
      <c r="B59" s="178" t="s">
        <v>167</v>
      </c>
      <c r="C59" s="157" t="s">
        <v>133</v>
      </c>
      <c r="D59" s="157" t="s">
        <v>168</v>
      </c>
      <c r="E59" s="163">
        <f>6+45</f>
        <v>51</v>
      </c>
      <c r="F59" s="183">
        <v>4794.8999999999996</v>
      </c>
      <c r="G59" s="180"/>
      <c r="H59" s="183">
        <f t="shared" si="0"/>
        <v>244539.9</v>
      </c>
    </row>
    <row r="60" spans="2:8" ht="15" customHeight="1" x14ac:dyDescent="0.25">
      <c r="B60" s="178" t="s">
        <v>169</v>
      </c>
      <c r="C60" s="157" t="s">
        <v>133</v>
      </c>
      <c r="D60" s="157" t="s">
        <v>170</v>
      </c>
      <c r="E60" s="163">
        <f>10+45</f>
        <v>55</v>
      </c>
      <c r="F60" s="183">
        <v>4794.8999999999996</v>
      </c>
      <c r="G60" s="180"/>
      <c r="H60" s="183">
        <f t="shared" si="0"/>
        <v>263719.5</v>
      </c>
    </row>
    <row r="61" spans="2:8" ht="15" customHeight="1" x14ac:dyDescent="0.25">
      <c r="B61" s="178" t="s">
        <v>171</v>
      </c>
      <c r="C61" s="157" t="s">
        <v>133</v>
      </c>
      <c r="D61" s="157" t="s">
        <v>172</v>
      </c>
      <c r="E61" s="163">
        <v>60</v>
      </c>
      <c r="F61" s="183">
        <v>2592.6</v>
      </c>
      <c r="G61" s="180"/>
      <c r="H61" s="183">
        <f t="shared" si="0"/>
        <v>155556</v>
      </c>
    </row>
    <row r="62" spans="2:8" ht="15" customHeight="1" x14ac:dyDescent="0.25">
      <c r="B62" s="178" t="s">
        <v>173</v>
      </c>
      <c r="C62" s="157" t="s">
        <v>174</v>
      </c>
      <c r="D62" s="157" t="s">
        <v>175</v>
      </c>
      <c r="E62" s="163">
        <v>15</v>
      </c>
      <c r="F62" s="183">
        <v>1700</v>
      </c>
      <c r="G62" s="180"/>
      <c r="H62" s="183">
        <f t="shared" si="0"/>
        <v>25500</v>
      </c>
    </row>
    <row r="63" spans="2:8" ht="15" customHeight="1" x14ac:dyDescent="0.25">
      <c r="B63" s="178" t="s">
        <v>176</v>
      </c>
      <c r="C63" s="157" t="s">
        <v>133</v>
      </c>
      <c r="D63" s="157" t="s">
        <v>177</v>
      </c>
      <c r="E63" s="163">
        <v>15</v>
      </c>
      <c r="F63" s="183">
        <v>7560.4</v>
      </c>
      <c r="G63" s="180"/>
      <c r="H63" s="183">
        <f t="shared" si="0"/>
        <v>113406</v>
      </c>
    </row>
    <row r="64" spans="2:8" ht="15" customHeight="1" x14ac:dyDescent="0.25">
      <c r="B64" s="178" t="s">
        <v>178</v>
      </c>
      <c r="C64" s="157" t="s">
        <v>179</v>
      </c>
      <c r="D64" s="157" t="s">
        <v>180</v>
      </c>
      <c r="E64" s="163">
        <v>52</v>
      </c>
      <c r="F64" s="183">
        <v>5.2</v>
      </c>
      <c r="G64" s="180"/>
      <c r="H64" s="183">
        <f t="shared" si="0"/>
        <v>270.40000000000003</v>
      </c>
    </row>
    <row r="65" spans="2:8" ht="15" customHeight="1" x14ac:dyDescent="0.25">
      <c r="B65" s="178" t="s">
        <v>181</v>
      </c>
      <c r="C65" s="157" t="s">
        <v>179</v>
      </c>
      <c r="D65" s="157" t="s">
        <v>182</v>
      </c>
      <c r="E65" s="163">
        <v>118</v>
      </c>
      <c r="F65" s="183">
        <v>5.2</v>
      </c>
      <c r="G65" s="180"/>
      <c r="H65" s="183">
        <f t="shared" si="0"/>
        <v>613.6</v>
      </c>
    </row>
    <row r="66" spans="2:8" ht="15" customHeight="1" x14ac:dyDescent="0.25">
      <c r="B66" s="178" t="s">
        <v>183</v>
      </c>
      <c r="C66" s="157" t="s">
        <v>179</v>
      </c>
      <c r="D66" s="157" t="s">
        <v>184</v>
      </c>
      <c r="E66" s="163">
        <v>285</v>
      </c>
      <c r="F66" s="183">
        <v>5.2</v>
      </c>
      <c r="G66" s="180"/>
      <c r="H66" s="183">
        <f t="shared" si="0"/>
        <v>1482</v>
      </c>
    </row>
    <row r="67" spans="2:8" ht="15" customHeight="1" x14ac:dyDescent="0.25">
      <c r="B67" s="178" t="s">
        <v>185</v>
      </c>
      <c r="C67" s="157" t="s">
        <v>179</v>
      </c>
      <c r="D67" s="157" t="s">
        <v>186</v>
      </c>
      <c r="E67" s="163">
        <v>120</v>
      </c>
      <c r="F67" s="183">
        <v>5.2</v>
      </c>
      <c r="G67" s="180"/>
      <c r="H67" s="183">
        <f t="shared" si="0"/>
        <v>624</v>
      </c>
    </row>
    <row r="68" spans="2:8" ht="15" customHeight="1" x14ac:dyDescent="0.25">
      <c r="B68" s="178" t="s">
        <v>187</v>
      </c>
      <c r="C68" s="157" t="s">
        <v>179</v>
      </c>
      <c r="D68" s="157" t="s">
        <v>188</v>
      </c>
      <c r="E68" s="163">
        <v>233</v>
      </c>
      <c r="F68" s="183">
        <v>5.2</v>
      </c>
      <c r="G68" s="180"/>
      <c r="H68" s="183">
        <f t="shared" si="0"/>
        <v>1211.6000000000001</v>
      </c>
    </row>
    <row r="69" spans="2:8" ht="15" customHeight="1" x14ac:dyDescent="0.25">
      <c r="B69" s="178" t="s">
        <v>189</v>
      </c>
      <c r="C69" s="157" t="s">
        <v>179</v>
      </c>
      <c r="D69" s="157" t="s">
        <v>190</v>
      </c>
      <c r="E69" s="163">
        <v>80</v>
      </c>
      <c r="F69" s="183">
        <v>5.2</v>
      </c>
      <c r="G69" s="180"/>
      <c r="H69" s="183">
        <f t="shared" si="0"/>
        <v>416</v>
      </c>
    </row>
    <row r="70" spans="2:8" ht="15" customHeight="1" x14ac:dyDescent="0.25">
      <c r="B70" s="178" t="s">
        <v>191</v>
      </c>
      <c r="C70" s="157" t="s">
        <v>179</v>
      </c>
      <c r="D70" s="157" t="s">
        <v>192</v>
      </c>
      <c r="E70" s="163">
        <v>47</v>
      </c>
      <c r="F70" s="183">
        <v>5.2</v>
      </c>
      <c r="G70" s="180"/>
      <c r="H70" s="183">
        <f t="shared" si="0"/>
        <v>244.4</v>
      </c>
    </row>
    <row r="71" spans="2:8" ht="15" customHeight="1" x14ac:dyDescent="0.25">
      <c r="B71" s="178" t="s">
        <v>193</v>
      </c>
      <c r="C71" s="157" t="s">
        <v>194</v>
      </c>
      <c r="D71" s="157" t="s">
        <v>195</v>
      </c>
      <c r="E71" s="163"/>
      <c r="F71" s="183"/>
      <c r="G71" s="180"/>
      <c r="H71" s="183">
        <f t="shared" si="0"/>
        <v>0</v>
      </c>
    </row>
    <row r="72" spans="2:8" ht="15" customHeight="1" x14ac:dyDescent="0.25">
      <c r="B72" s="178" t="s">
        <v>196</v>
      </c>
      <c r="C72" s="157" t="s">
        <v>194</v>
      </c>
      <c r="D72" s="157" t="s">
        <v>197</v>
      </c>
      <c r="E72" s="163"/>
      <c r="F72" s="183"/>
      <c r="G72" s="180"/>
      <c r="H72" s="183">
        <f t="shared" si="0"/>
        <v>0</v>
      </c>
    </row>
    <row r="73" spans="2:8" ht="15" customHeight="1" x14ac:dyDescent="0.25">
      <c r="B73" s="178" t="s">
        <v>198</v>
      </c>
      <c r="C73" s="157" t="s">
        <v>199</v>
      </c>
      <c r="D73" s="157" t="s">
        <v>200</v>
      </c>
      <c r="E73" s="163">
        <v>6</v>
      </c>
      <c r="F73" s="183">
        <v>9.1300000000000008</v>
      </c>
      <c r="G73" s="180"/>
      <c r="H73" s="183">
        <f t="shared" si="0"/>
        <v>54.78</v>
      </c>
    </row>
    <row r="74" spans="2:8" ht="15" customHeight="1" x14ac:dyDescent="0.25">
      <c r="B74" s="178" t="s">
        <v>201</v>
      </c>
      <c r="C74" s="157" t="s">
        <v>202</v>
      </c>
      <c r="D74" s="157" t="s">
        <v>203</v>
      </c>
      <c r="E74" s="163">
        <f>147+422</f>
        <v>569</v>
      </c>
      <c r="F74" s="183">
        <v>18.09</v>
      </c>
      <c r="G74" s="180"/>
      <c r="H74" s="183">
        <f t="shared" si="0"/>
        <v>10293.209999999999</v>
      </c>
    </row>
    <row r="75" spans="2:8" ht="15" customHeight="1" x14ac:dyDescent="0.25">
      <c r="B75" s="178" t="s">
        <v>204</v>
      </c>
      <c r="C75" s="157" t="s">
        <v>205</v>
      </c>
      <c r="D75" s="157" t="s">
        <v>206</v>
      </c>
      <c r="E75" s="163">
        <v>112</v>
      </c>
      <c r="F75" s="183">
        <v>125</v>
      </c>
      <c r="G75" s="180"/>
      <c r="H75" s="183">
        <f t="shared" si="0"/>
        <v>14000</v>
      </c>
    </row>
    <row r="76" spans="2:8" ht="15" customHeight="1" x14ac:dyDescent="0.25">
      <c r="B76" s="178" t="s">
        <v>207</v>
      </c>
      <c r="C76" s="157" t="s">
        <v>205</v>
      </c>
      <c r="D76" s="157" t="s">
        <v>208</v>
      </c>
      <c r="E76" s="163">
        <f>116+99</f>
        <v>215</v>
      </c>
      <c r="F76" s="183">
        <v>15.38</v>
      </c>
      <c r="G76" s="180"/>
      <c r="H76" s="183">
        <f t="shared" si="0"/>
        <v>3306.7000000000003</v>
      </c>
    </row>
    <row r="77" spans="2:8" ht="15" customHeight="1" x14ac:dyDescent="0.25">
      <c r="B77" s="178" t="s">
        <v>209</v>
      </c>
      <c r="C77" s="157" t="s">
        <v>205</v>
      </c>
      <c r="D77" s="157" t="s">
        <v>210</v>
      </c>
      <c r="E77" s="163">
        <f>96+2736</f>
        <v>2832</v>
      </c>
      <c r="F77" s="183">
        <v>32</v>
      </c>
      <c r="G77" s="180"/>
      <c r="H77" s="183">
        <f t="shared" si="0"/>
        <v>90624</v>
      </c>
    </row>
    <row r="78" spans="2:8" ht="15" customHeight="1" x14ac:dyDescent="0.25">
      <c r="B78" s="178" t="s">
        <v>211</v>
      </c>
      <c r="C78" s="157" t="s">
        <v>205</v>
      </c>
      <c r="D78" s="157" t="s">
        <v>212</v>
      </c>
      <c r="E78" s="163">
        <v>0</v>
      </c>
      <c r="F78" s="183">
        <v>12.65</v>
      </c>
      <c r="G78" s="180"/>
      <c r="H78" s="183">
        <f t="shared" si="0"/>
        <v>0</v>
      </c>
    </row>
    <row r="79" spans="2:8" ht="15" customHeight="1" x14ac:dyDescent="0.25">
      <c r="B79" s="178" t="s">
        <v>213</v>
      </c>
      <c r="C79" s="157" t="s">
        <v>205</v>
      </c>
      <c r="D79" s="157" t="s">
        <v>214</v>
      </c>
      <c r="E79" s="163">
        <v>0</v>
      </c>
      <c r="F79" s="183">
        <v>12.65</v>
      </c>
      <c r="G79" s="180"/>
      <c r="H79" s="183">
        <f t="shared" si="0"/>
        <v>0</v>
      </c>
    </row>
    <row r="80" spans="2:8" ht="15" customHeight="1" x14ac:dyDescent="0.25">
      <c r="B80" s="178" t="s">
        <v>215</v>
      </c>
      <c r="C80" s="157" t="s">
        <v>205</v>
      </c>
      <c r="D80" s="157" t="s">
        <v>216</v>
      </c>
      <c r="E80" s="163">
        <v>40</v>
      </c>
      <c r="F80" s="183">
        <v>20</v>
      </c>
      <c r="G80" s="180"/>
      <c r="H80" s="183">
        <f t="shared" si="0"/>
        <v>800</v>
      </c>
    </row>
    <row r="81" spans="2:8" ht="15" customHeight="1" x14ac:dyDescent="0.25">
      <c r="B81" s="178" t="s">
        <v>217</v>
      </c>
      <c r="C81" s="157" t="s">
        <v>218</v>
      </c>
      <c r="D81" s="157" t="s">
        <v>219</v>
      </c>
      <c r="E81" s="163">
        <v>8</v>
      </c>
      <c r="F81" s="183">
        <v>15.38</v>
      </c>
      <c r="G81" s="180"/>
      <c r="H81" s="183">
        <f t="shared" ref="H81:H144" si="1">E81*F81</f>
        <v>123.04</v>
      </c>
    </row>
    <row r="82" spans="2:8" ht="15" customHeight="1" x14ac:dyDescent="0.25">
      <c r="B82" s="178" t="s">
        <v>220</v>
      </c>
      <c r="C82" s="157" t="s">
        <v>205</v>
      </c>
      <c r="D82" s="157" t="s">
        <v>221</v>
      </c>
      <c r="E82" s="163">
        <f>180+51</f>
        <v>231</v>
      </c>
      <c r="F82" s="183">
        <v>20.78</v>
      </c>
      <c r="G82" s="180"/>
      <c r="H82" s="183">
        <f t="shared" si="1"/>
        <v>4800.18</v>
      </c>
    </row>
    <row r="83" spans="2:8" ht="15" customHeight="1" x14ac:dyDescent="0.25">
      <c r="B83" s="178" t="s">
        <v>222</v>
      </c>
      <c r="C83" s="157" t="s">
        <v>223</v>
      </c>
      <c r="D83" s="157" t="s">
        <v>224</v>
      </c>
      <c r="E83" s="163">
        <f>11+6</f>
        <v>17</v>
      </c>
      <c r="F83" s="183">
        <v>49</v>
      </c>
      <c r="G83" s="180"/>
      <c r="H83" s="183">
        <f t="shared" si="1"/>
        <v>833</v>
      </c>
    </row>
    <row r="84" spans="2:8" ht="15" customHeight="1" x14ac:dyDescent="0.25">
      <c r="B84" s="178" t="s">
        <v>225</v>
      </c>
      <c r="C84" s="157" t="s">
        <v>226</v>
      </c>
      <c r="D84" s="157" t="s">
        <v>227</v>
      </c>
      <c r="E84" s="163"/>
      <c r="F84" s="183"/>
      <c r="G84" s="180"/>
      <c r="H84" s="183">
        <f t="shared" si="1"/>
        <v>0</v>
      </c>
    </row>
    <row r="85" spans="2:8" ht="15" customHeight="1" x14ac:dyDescent="0.25">
      <c r="B85" s="178" t="s">
        <v>228</v>
      </c>
      <c r="C85" s="157" t="s">
        <v>229</v>
      </c>
      <c r="D85" s="157" t="s">
        <v>230</v>
      </c>
      <c r="E85" s="163"/>
      <c r="F85" s="183"/>
      <c r="G85" s="180"/>
      <c r="H85" s="183">
        <f t="shared" si="1"/>
        <v>0</v>
      </c>
    </row>
    <row r="86" spans="2:8" ht="15" customHeight="1" x14ac:dyDescent="0.25">
      <c r="B86" s="178" t="s">
        <v>231</v>
      </c>
      <c r="C86" s="157" t="s">
        <v>232</v>
      </c>
      <c r="D86" s="157" t="s">
        <v>233</v>
      </c>
      <c r="E86" s="163">
        <f>38+410</f>
        <v>448</v>
      </c>
      <c r="F86" s="183">
        <v>31.98</v>
      </c>
      <c r="G86" s="180"/>
      <c r="H86" s="183">
        <f t="shared" si="1"/>
        <v>14327.04</v>
      </c>
    </row>
    <row r="87" spans="2:8" ht="15" customHeight="1" x14ac:dyDescent="0.25">
      <c r="B87" s="178" t="s">
        <v>234</v>
      </c>
      <c r="C87" s="157" t="s">
        <v>235</v>
      </c>
      <c r="D87" s="157" t="s">
        <v>236</v>
      </c>
      <c r="E87" s="163">
        <f>733+10</f>
        <v>743</v>
      </c>
      <c r="F87" s="183">
        <v>13.39</v>
      </c>
      <c r="G87" s="180"/>
      <c r="H87" s="183">
        <f t="shared" si="1"/>
        <v>9948.77</v>
      </c>
    </row>
    <row r="88" spans="2:8" ht="15" customHeight="1" x14ac:dyDescent="0.25">
      <c r="B88" s="178" t="s">
        <v>237</v>
      </c>
      <c r="C88" s="157" t="s">
        <v>235</v>
      </c>
      <c r="D88" s="157" t="s">
        <v>238</v>
      </c>
      <c r="E88" s="163"/>
      <c r="F88" s="183"/>
      <c r="G88" s="180"/>
      <c r="H88" s="183">
        <f t="shared" si="1"/>
        <v>0</v>
      </c>
    </row>
    <row r="89" spans="2:8" ht="15" customHeight="1" x14ac:dyDescent="0.25">
      <c r="B89" s="178" t="s">
        <v>239</v>
      </c>
      <c r="C89" s="157" t="s">
        <v>235</v>
      </c>
      <c r="D89" s="157" t="s">
        <v>240</v>
      </c>
      <c r="E89" s="163"/>
      <c r="F89" s="183"/>
      <c r="G89" s="180"/>
      <c r="H89" s="183">
        <f t="shared" si="1"/>
        <v>0</v>
      </c>
    </row>
    <row r="90" spans="2:8" ht="15" customHeight="1" x14ac:dyDescent="0.25">
      <c r="B90" s="178" t="s">
        <v>241</v>
      </c>
      <c r="C90" s="157" t="s">
        <v>235</v>
      </c>
      <c r="D90" s="157" t="s">
        <v>242</v>
      </c>
      <c r="E90" s="163">
        <v>463</v>
      </c>
      <c r="F90" s="183">
        <v>6.75</v>
      </c>
      <c r="G90" s="180"/>
      <c r="H90" s="183">
        <f t="shared" si="1"/>
        <v>3125.25</v>
      </c>
    </row>
    <row r="91" spans="2:8" ht="15" customHeight="1" x14ac:dyDescent="0.25">
      <c r="B91" s="178" t="s">
        <v>243</v>
      </c>
      <c r="C91" s="157" t="s">
        <v>244</v>
      </c>
      <c r="D91" s="157" t="s">
        <v>245</v>
      </c>
      <c r="E91" s="163">
        <f>25+10</f>
        <v>35</v>
      </c>
      <c r="F91" s="183">
        <v>20.84</v>
      </c>
      <c r="G91" s="180"/>
      <c r="H91" s="183">
        <f t="shared" si="1"/>
        <v>729.4</v>
      </c>
    </row>
    <row r="92" spans="2:8" ht="15" customHeight="1" x14ac:dyDescent="0.25">
      <c r="B92" s="178" t="s">
        <v>246</v>
      </c>
      <c r="C92" s="157" t="s">
        <v>247</v>
      </c>
      <c r="D92" s="157" t="s">
        <v>248</v>
      </c>
      <c r="E92" s="163">
        <v>1</v>
      </c>
      <c r="F92" s="183">
        <v>254.6</v>
      </c>
      <c r="G92" s="180"/>
      <c r="H92" s="183">
        <f t="shared" si="1"/>
        <v>254.6</v>
      </c>
    </row>
    <row r="93" spans="2:8" ht="15" customHeight="1" x14ac:dyDescent="0.25">
      <c r="B93" s="178" t="s">
        <v>249</v>
      </c>
      <c r="C93" s="157" t="s">
        <v>250</v>
      </c>
      <c r="D93" s="157" t="s">
        <v>251</v>
      </c>
      <c r="E93" s="163">
        <v>283</v>
      </c>
      <c r="F93" s="183">
        <v>11.02</v>
      </c>
      <c r="G93" s="180"/>
      <c r="H93" s="183">
        <f t="shared" si="1"/>
        <v>3118.66</v>
      </c>
    </row>
    <row r="94" spans="2:8" ht="15" customHeight="1" x14ac:dyDescent="0.25">
      <c r="B94" s="178" t="s">
        <v>252</v>
      </c>
      <c r="C94" s="157" t="s">
        <v>253</v>
      </c>
      <c r="D94" s="157" t="s">
        <v>254</v>
      </c>
      <c r="E94" s="163"/>
      <c r="F94" s="183"/>
      <c r="G94" s="180"/>
      <c r="H94" s="183">
        <f t="shared" si="1"/>
        <v>0</v>
      </c>
    </row>
    <row r="95" spans="2:8" ht="15" customHeight="1" x14ac:dyDescent="0.25">
      <c r="B95" s="178" t="s">
        <v>255</v>
      </c>
      <c r="C95" s="157" t="s">
        <v>253</v>
      </c>
      <c r="D95" s="157" t="s">
        <v>256</v>
      </c>
      <c r="E95" s="163"/>
      <c r="F95" s="183"/>
      <c r="G95" s="180"/>
      <c r="H95" s="183">
        <f t="shared" si="1"/>
        <v>0</v>
      </c>
    </row>
    <row r="96" spans="2:8" ht="15" customHeight="1" x14ac:dyDescent="0.25">
      <c r="B96" s="178" t="s">
        <v>257</v>
      </c>
      <c r="C96" s="157" t="s">
        <v>258</v>
      </c>
      <c r="D96" s="157" t="s">
        <v>259</v>
      </c>
      <c r="E96" s="163"/>
      <c r="F96" s="183"/>
      <c r="G96" s="180"/>
      <c r="H96" s="183">
        <f t="shared" si="1"/>
        <v>0</v>
      </c>
    </row>
    <row r="97" spans="2:8" ht="15" customHeight="1" x14ac:dyDescent="0.25">
      <c r="B97" s="178" t="s">
        <v>260</v>
      </c>
      <c r="C97" s="157" t="s">
        <v>261</v>
      </c>
      <c r="D97" s="157" t="s">
        <v>262</v>
      </c>
      <c r="E97" s="163"/>
      <c r="F97" s="183"/>
      <c r="G97" s="180"/>
      <c r="H97" s="183">
        <f t="shared" si="1"/>
        <v>0</v>
      </c>
    </row>
    <row r="98" spans="2:8" ht="15" customHeight="1" x14ac:dyDescent="0.25">
      <c r="B98" s="178" t="s">
        <v>263</v>
      </c>
      <c r="C98" s="157" t="s">
        <v>264</v>
      </c>
      <c r="D98" s="157" t="s">
        <v>265</v>
      </c>
      <c r="E98" s="163"/>
      <c r="F98" s="183"/>
      <c r="G98" s="180"/>
      <c r="H98" s="183">
        <f t="shared" si="1"/>
        <v>0</v>
      </c>
    </row>
    <row r="99" spans="2:8" ht="15" customHeight="1" x14ac:dyDescent="0.25">
      <c r="B99" s="178" t="s">
        <v>266</v>
      </c>
      <c r="C99" s="157" t="s">
        <v>264</v>
      </c>
      <c r="D99" s="157" t="s">
        <v>267</v>
      </c>
      <c r="E99" s="163">
        <f>1+2</f>
        <v>3</v>
      </c>
      <c r="F99" s="183">
        <v>307.5</v>
      </c>
      <c r="G99" s="180"/>
      <c r="H99" s="183">
        <f t="shared" si="1"/>
        <v>922.5</v>
      </c>
    </row>
    <row r="100" spans="2:8" ht="15" customHeight="1" x14ac:dyDescent="0.25">
      <c r="B100" s="178" t="s">
        <v>268</v>
      </c>
      <c r="C100" s="157" t="s">
        <v>264</v>
      </c>
      <c r="D100" s="157" t="s">
        <v>269</v>
      </c>
      <c r="E100" s="163"/>
      <c r="F100" s="183"/>
      <c r="G100" s="180"/>
      <c r="H100" s="183">
        <f t="shared" si="1"/>
        <v>0</v>
      </c>
    </row>
    <row r="101" spans="2:8" ht="15" customHeight="1" x14ac:dyDescent="0.25">
      <c r="B101" s="178" t="s">
        <v>270</v>
      </c>
      <c r="C101" s="157" t="s">
        <v>271</v>
      </c>
      <c r="D101" s="157" t="s">
        <v>200</v>
      </c>
      <c r="E101" s="163"/>
      <c r="F101" s="183"/>
      <c r="G101" s="180"/>
      <c r="H101" s="183">
        <f t="shared" si="1"/>
        <v>0</v>
      </c>
    </row>
    <row r="102" spans="2:8" ht="15" customHeight="1" x14ac:dyDescent="0.25">
      <c r="B102" s="178" t="s">
        <v>272</v>
      </c>
      <c r="C102" s="157" t="s">
        <v>273</v>
      </c>
      <c r="D102" s="157" t="s">
        <v>274</v>
      </c>
      <c r="E102" s="163">
        <v>2500</v>
      </c>
      <c r="F102" s="183">
        <v>1.1000000000000001</v>
      </c>
      <c r="G102" s="180"/>
      <c r="H102" s="183">
        <f t="shared" si="1"/>
        <v>2750</v>
      </c>
    </row>
    <row r="103" spans="2:8" ht="15" customHeight="1" x14ac:dyDescent="0.25">
      <c r="B103" s="178" t="s">
        <v>275</v>
      </c>
      <c r="C103" s="157" t="s">
        <v>273</v>
      </c>
      <c r="D103" s="157" t="s">
        <v>276</v>
      </c>
      <c r="E103" s="163">
        <v>928</v>
      </c>
      <c r="F103" s="183">
        <v>1.1000000000000001</v>
      </c>
      <c r="G103" s="180"/>
      <c r="H103" s="183">
        <f t="shared" si="1"/>
        <v>1020.8000000000001</v>
      </c>
    </row>
    <row r="104" spans="2:8" ht="15" customHeight="1" x14ac:dyDescent="0.25">
      <c r="B104" s="178" t="s">
        <v>277</v>
      </c>
      <c r="C104" s="157" t="s">
        <v>273</v>
      </c>
      <c r="D104" s="157" t="s">
        <v>278</v>
      </c>
      <c r="E104" s="163">
        <v>1000</v>
      </c>
      <c r="F104" s="183">
        <v>2</v>
      </c>
      <c r="G104" s="180"/>
      <c r="H104" s="183">
        <f t="shared" si="1"/>
        <v>2000</v>
      </c>
    </row>
    <row r="105" spans="2:8" ht="15" customHeight="1" x14ac:dyDescent="0.25">
      <c r="B105" s="178" t="s">
        <v>279</v>
      </c>
      <c r="C105" s="157" t="s">
        <v>273</v>
      </c>
      <c r="D105" s="157" t="s">
        <v>280</v>
      </c>
      <c r="E105" s="163">
        <v>500</v>
      </c>
      <c r="F105" s="183">
        <v>1.1000000000000001</v>
      </c>
      <c r="G105" s="180"/>
      <c r="H105" s="183">
        <f t="shared" si="1"/>
        <v>550</v>
      </c>
    </row>
    <row r="106" spans="2:8" ht="15" customHeight="1" x14ac:dyDescent="0.25">
      <c r="B106" s="178" t="s">
        <v>281</v>
      </c>
      <c r="C106" s="157" t="s">
        <v>282</v>
      </c>
      <c r="D106" s="157" t="s">
        <v>283</v>
      </c>
      <c r="E106" s="163"/>
      <c r="F106" s="183"/>
      <c r="G106" s="180"/>
      <c r="H106" s="183">
        <f t="shared" si="1"/>
        <v>0</v>
      </c>
    </row>
    <row r="107" spans="2:8" ht="15" customHeight="1" x14ac:dyDescent="0.25">
      <c r="B107" s="178" t="s">
        <v>284</v>
      </c>
      <c r="C107" s="157" t="s">
        <v>282</v>
      </c>
      <c r="D107" s="157" t="s">
        <v>285</v>
      </c>
      <c r="E107" s="163"/>
      <c r="F107" s="183"/>
      <c r="G107" s="180"/>
      <c r="H107" s="183">
        <f t="shared" si="1"/>
        <v>0</v>
      </c>
    </row>
    <row r="108" spans="2:8" ht="15" customHeight="1" x14ac:dyDescent="0.25">
      <c r="B108" s="178" t="s">
        <v>286</v>
      </c>
      <c r="C108" s="157" t="s">
        <v>282</v>
      </c>
      <c r="D108" s="157" t="s">
        <v>287</v>
      </c>
      <c r="E108" s="163"/>
      <c r="F108" s="183"/>
      <c r="G108" s="180"/>
      <c r="H108" s="183">
        <f t="shared" si="1"/>
        <v>0</v>
      </c>
    </row>
    <row r="109" spans="2:8" ht="15" customHeight="1" x14ac:dyDescent="0.25">
      <c r="B109" s="178" t="s">
        <v>288</v>
      </c>
      <c r="C109" s="157" t="s">
        <v>289</v>
      </c>
      <c r="D109" s="157" t="s">
        <v>290</v>
      </c>
      <c r="E109" s="163"/>
      <c r="F109" s="183"/>
      <c r="G109" s="180"/>
      <c r="H109" s="183">
        <f t="shared" si="1"/>
        <v>0</v>
      </c>
    </row>
    <row r="110" spans="2:8" ht="15" customHeight="1" x14ac:dyDescent="0.25">
      <c r="B110" s="178" t="s">
        <v>291</v>
      </c>
      <c r="C110" s="157" t="s">
        <v>292</v>
      </c>
      <c r="D110" s="157" t="s">
        <v>293</v>
      </c>
      <c r="E110" s="163"/>
      <c r="F110" s="183"/>
      <c r="G110" s="180"/>
      <c r="H110" s="183">
        <f t="shared" si="1"/>
        <v>0</v>
      </c>
    </row>
    <row r="111" spans="2:8" ht="15" customHeight="1" x14ac:dyDescent="0.25">
      <c r="B111" s="178" t="s">
        <v>294</v>
      </c>
      <c r="C111" s="157" t="s">
        <v>295</v>
      </c>
      <c r="D111" s="157" t="s">
        <v>296</v>
      </c>
      <c r="E111" s="163">
        <f>119+30</f>
        <v>149</v>
      </c>
      <c r="F111" s="183">
        <v>26.7</v>
      </c>
      <c r="G111" s="180"/>
      <c r="H111" s="183">
        <f t="shared" si="1"/>
        <v>3978.2999999999997</v>
      </c>
    </row>
    <row r="112" spans="2:8" ht="15" customHeight="1" x14ac:dyDescent="0.25">
      <c r="B112" s="178" t="s">
        <v>297</v>
      </c>
      <c r="C112" s="157" t="s">
        <v>295</v>
      </c>
      <c r="D112" s="157" t="s">
        <v>298</v>
      </c>
      <c r="E112" s="163">
        <f>35+230</f>
        <v>265</v>
      </c>
      <c r="F112" s="183">
        <v>26.7</v>
      </c>
      <c r="G112" s="180"/>
      <c r="H112" s="183">
        <f t="shared" si="1"/>
        <v>7075.5</v>
      </c>
    </row>
    <row r="113" spans="2:8" ht="15" customHeight="1" x14ac:dyDescent="0.25">
      <c r="B113" s="178" t="s">
        <v>299</v>
      </c>
      <c r="C113" s="157" t="s">
        <v>300</v>
      </c>
      <c r="D113" s="157" t="s">
        <v>301</v>
      </c>
      <c r="E113" s="163"/>
      <c r="F113" s="183"/>
      <c r="G113" s="180"/>
      <c r="H113" s="183">
        <f t="shared" si="1"/>
        <v>0</v>
      </c>
    </row>
    <row r="114" spans="2:8" ht="15" customHeight="1" x14ac:dyDescent="0.25">
      <c r="B114" s="178" t="s">
        <v>302</v>
      </c>
      <c r="C114" s="157" t="s">
        <v>303</v>
      </c>
      <c r="D114" s="157" t="s">
        <v>304</v>
      </c>
      <c r="E114" s="163"/>
      <c r="F114" s="183"/>
      <c r="G114" s="180"/>
      <c r="H114" s="183">
        <f t="shared" si="1"/>
        <v>0</v>
      </c>
    </row>
    <row r="115" spans="2:8" ht="15" customHeight="1" x14ac:dyDescent="0.25">
      <c r="B115" s="178" t="s">
        <v>305</v>
      </c>
      <c r="C115" s="157" t="s">
        <v>303</v>
      </c>
      <c r="D115" s="157" t="s">
        <v>306</v>
      </c>
      <c r="E115" s="163"/>
      <c r="F115" s="183"/>
      <c r="G115" s="180"/>
      <c r="H115" s="183">
        <f t="shared" si="1"/>
        <v>0</v>
      </c>
    </row>
    <row r="116" spans="2:8" ht="15" customHeight="1" x14ac:dyDescent="0.25">
      <c r="B116" s="178" t="s">
        <v>307</v>
      </c>
      <c r="C116" s="157" t="s">
        <v>303</v>
      </c>
      <c r="D116" s="157" t="s">
        <v>308</v>
      </c>
      <c r="E116" s="163"/>
      <c r="F116" s="183"/>
      <c r="G116" s="180"/>
      <c r="H116" s="183">
        <f t="shared" si="1"/>
        <v>0</v>
      </c>
    </row>
    <row r="117" spans="2:8" ht="15" customHeight="1" x14ac:dyDescent="0.25">
      <c r="B117" s="178" t="s">
        <v>309</v>
      </c>
      <c r="C117" s="157" t="s">
        <v>303</v>
      </c>
      <c r="D117" s="157" t="s">
        <v>310</v>
      </c>
      <c r="E117" s="163"/>
      <c r="F117" s="183"/>
      <c r="G117" s="180"/>
      <c r="H117" s="183">
        <f t="shared" si="1"/>
        <v>0</v>
      </c>
    </row>
    <row r="118" spans="2:8" ht="15" customHeight="1" x14ac:dyDescent="0.25">
      <c r="B118" s="178" t="s">
        <v>311</v>
      </c>
      <c r="C118" s="157" t="s">
        <v>303</v>
      </c>
      <c r="D118" s="157" t="s">
        <v>312</v>
      </c>
      <c r="E118" s="163"/>
      <c r="F118" s="183"/>
      <c r="G118" s="180"/>
      <c r="H118" s="183">
        <f t="shared" si="1"/>
        <v>0</v>
      </c>
    </row>
    <row r="119" spans="2:8" ht="15" customHeight="1" x14ac:dyDescent="0.25">
      <c r="B119" s="178" t="s">
        <v>313</v>
      </c>
      <c r="C119" s="157" t="s">
        <v>303</v>
      </c>
      <c r="D119" s="157" t="s">
        <v>314</v>
      </c>
      <c r="E119" s="163"/>
      <c r="F119" s="183"/>
      <c r="G119" s="180"/>
      <c r="H119" s="183">
        <f t="shared" si="1"/>
        <v>0</v>
      </c>
    </row>
    <row r="120" spans="2:8" ht="15" customHeight="1" x14ac:dyDescent="0.25">
      <c r="B120" s="178" t="s">
        <v>315</v>
      </c>
      <c r="C120" s="157" t="s">
        <v>303</v>
      </c>
      <c r="D120" s="157" t="s">
        <v>316</v>
      </c>
      <c r="E120" s="163"/>
      <c r="F120" s="183"/>
      <c r="G120" s="180"/>
      <c r="H120" s="183">
        <f t="shared" si="1"/>
        <v>0</v>
      </c>
    </row>
    <row r="121" spans="2:8" ht="15" customHeight="1" x14ac:dyDescent="0.25">
      <c r="B121" s="178" t="s">
        <v>317</v>
      </c>
      <c r="C121" s="157" t="s">
        <v>318</v>
      </c>
      <c r="D121" s="157" t="s">
        <v>319</v>
      </c>
      <c r="E121" s="163">
        <v>5</v>
      </c>
      <c r="F121" s="183">
        <v>260</v>
      </c>
      <c r="G121" s="180"/>
      <c r="H121" s="183">
        <f t="shared" si="1"/>
        <v>1300</v>
      </c>
    </row>
    <row r="122" spans="2:8" ht="15" customHeight="1" x14ac:dyDescent="0.25">
      <c r="B122" s="178" t="s">
        <v>320</v>
      </c>
      <c r="C122" s="157" t="s">
        <v>318</v>
      </c>
      <c r="D122" s="157" t="s">
        <v>321</v>
      </c>
      <c r="E122" s="163"/>
      <c r="F122" s="183"/>
      <c r="G122" s="180"/>
      <c r="H122" s="183">
        <f t="shared" si="1"/>
        <v>0</v>
      </c>
    </row>
    <row r="123" spans="2:8" ht="15" customHeight="1" x14ac:dyDescent="0.25">
      <c r="B123" s="178" t="s">
        <v>322</v>
      </c>
      <c r="C123" s="157" t="s">
        <v>318</v>
      </c>
      <c r="D123" s="157" t="s">
        <v>323</v>
      </c>
      <c r="E123" s="163">
        <f>688+13900</f>
        <v>14588</v>
      </c>
      <c r="F123" s="183">
        <v>2.2400000000000002</v>
      </c>
      <c r="G123" s="180"/>
      <c r="H123" s="183">
        <f t="shared" si="1"/>
        <v>32677.120000000003</v>
      </c>
    </row>
    <row r="124" spans="2:8" ht="15" customHeight="1" x14ac:dyDescent="0.25">
      <c r="B124" s="178" t="s">
        <v>324</v>
      </c>
      <c r="C124" s="157" t="s">
        <v>318</v>
      </c>
      <c r="D124" s="157" t="s">
        <v>325</v>
      </c>
      <c r="E124" s="163"/>
      <c r="F124" s="183"/>
      <c r="G124" s="180"/>
      <c r="H124" s="183">
        <f t="shared" si="1"/>
        <v>0</v>
      </c>
    </row>
    <row r="125" spans="2:8" ht="15" customHeight="1" x14ac:dyDescent="0.25">
      <c r="B125" s="178" t="s">
        <v>326</v>
      </c>
      <c r="C125" s="157" t="s">
        <v>318</v>
      </c>
      <c r="D125" s="157" t="s">
        <v>327</v>
      </c>
      <c r="E125" s="163">
        <v>13</v>
      </c>
      <c r="F125" s="183"/>
      <c r="G125" s="180"/>
      <c r="H125" s="183">
        <f t="shared" si="1"/>
        <v>0</v>
      </c>
    </row>
    <row r="126" spans="2:8" ht="15" customHeight="1" x14ac:dyDescent="0.25">
      <c r="B126" s="178" t="s">
        <v>328</v>
      </c>
      <c r="C126" s="157" t="s">
        <v>318</v>
      </c>
      <c r="D126" s="157" t="s">
        <v>329</v>
      </c>
      <c r="E126" s="163"/>
      <c r="F126" s="183"/>
      <c r="G126" s="180"/>
      <c r="H126" s="183">
        <f t="shared" si="1"/>
        <v>0</v>
      </c>
    </row>
    <row r="127" spans="2:8" ht="15" customHeight="1" x14ac:dyDescent="0.25">
      <c r="B127" s="178" t="s">
        <v>330</v>
      </c>
      <c r="C127" s="157" t="s">
        <v>318</v>
      </c>
      <c r="D127" s="157" t="s">
        <v>331</v>
      </c>
      <c r="E127" s="163"/>
      <c r="F127" s="183"/>
      <c r="G127" s="180"/>
      <c r="H127" s="183">
        <f t="shared" si="1"/>
        <v>0</v>
      </c>
    </row>
    <row r="128" spans="2:8" ht="15" customHeight="1" x14ac:dyDescent="0.25">
      <c r="B128" s="178" t="s">
        <v>332</v>
      </c>
      <c r="C128" s="157" t="s">
        <v>318</v>
      </c>
      <c r="D128" s="157" t="s">
        <v>333</v>
      </c>
      <c r="E128" s="163"/>
      <c r="F128" s="183"/>
      <c r="G128" s="180"/>
      <c r="H128" s="183">
        <f t="shared" si="1"/>
        <v>0</v>
      </c>
    </row>
    <row r="129" spans="2:8" ht="15" customHeight="1" x14ac:dyDescent="0.25">
      <c r="B129" s="178" t="s">
        <v>334</v>
      </c>
      <c r="C129" s="157" t="s">
        <v>318</v>
      </c>
      <c r="D129" s="157" t="s">
        <v>335</v>
      </c>
      <c r="E129" s="163">
        <v>2</v>
      </c>
      <c r="F129" s="183">
        <v>16.52</v>
      </c>
      <c r="G129" s="180"/>
      <c r="H129" s="183">
        <f t="shared" si="1"/>
        <v>33.04</v>
      </c>
    </row>
    <row r="130" spans="2:8" ht="15" customHeight="1" x14ac:dyDescent="0.25">
      <c r="B130" s="178" t="s">
        <v>336</v>
      </c>
      <c r="C130" s="157" t="s">
        <v>318</v>
      </c>
      <c r="D130" s="157" t="s">
        <v>337</v>
      </c>
      <c r="E130" s="163"/>
      <c r="F130" s="183"/>
      <c r="G130" s="180"/>
      <c r="H130" s="183">
        <f t="shared" si="1"/>
        <v>0</v>
      </c>
    </row>
    <row r="131" spans="2:8" ht="15" customHeight="1" x14ac:dyDescent="0.25">
      <c r="B131" s="178" t="s">
        <v>338</v>
      </c>
      <c r="C131" s="157" t="s">
        <v>318</v>
      </c>
      <c r="D131" s="157" t="s">
        <v>339</v>
      </c>
      <c r="E131" s="163"/>
      <c r="F131" s="183"/>
      <c r="G131" s="180"/>
      <c r="H131" s="183">
        <f t="shared" si="1"/>
        <v>0</v>
      </c>
    </row>
    <row r="132" spans="2:8" ht="15" customHeight="1" x14ac:dyDescent="0.25">
      <c r="B132" s="178" t="s">
        <v>340</v>
      </c>
      <c r="C132" s="157" t="s">
        <v>341</v>
      </c>
      <c r="D132" s="157" t="s">
        <v>342</v>
      </c>
      <c r="E132" s="163"/>
      <c r="F132" s="183"/>
      <c r="G132" s="180"/>
      <c r="H132" s="183">
        <f t="shared" si="1"/>
        <v>0</v>
      </c>
    </row>
    <row r="133" spans="2:8" ht="15" customHeight="1" x14ac:dyDescent="0.25">
      <c r="B133" s="178" t="s">
        <v>343</v>
      </c>
      <c r="C133" s="157" t="s">
        <v>344</v>
      </c>
      <c r="D133" s="157" t="s">
        <v>345</v>
      </c>
      <c r="E133" s="163">
        <v>14500</v>
      </c>
      <c r="F133" s="183">
        <v>2.2400000000000002</v>
      </c>
      <c r="G133" s="180"/>
      <c r="H133" s="183">
        <f t="shared" si="1"/>
        <v>32480.000000000004</v>
      </c>
    </row>
    <row r="134" spans="2:8" ht="15" customHeight="1" x14ac:dyDescent="0.25">
      <c r="B134" s="178" t="s">
        <v>346</v>
      </c>
      <c r="C134" s="157" t="s">
        <v>347</v>
      </c>
      <c r="D134" s="157" t="s">
        <v>348</v>
      </c>
      <c r="E134" s="163">
        <v>1670</v>
      </c>
      <c r="F134" s="183">
        <v>2.14</v>
      </c>
      <c r="G134" s="180"/>
      <c r="H134" s="183">
        <f t="shared" si="1"/>
        <v>3573.8</v>
      </c>
    </row>
    <row r="135" spans="2:8" ht="15" customHeight="1" x14ac:dyDescent="0.25">
      <c r="B135" s="178" t="s">
        <v>349</v>
      </c>
      <c r="C135" s="157" t="s">
        <v>350</v>
      </c>
      <c r="D135" s="157" t="s">
        <v>351</v>
      </c>
      <c r="E135" s="163">
        <f>1100+80</f>
        <v>1180</v>
      </c>
      <c r="F135" s="183">
        <v>2.14</v>
      </c>
      <c r="G135" s="180"/>
      <c r="H135" s="183">
        <f t="shared" si="1"/>
        <v>2525.2000000000003</v>
      </c>
    </row>
    <row r="136" spans="2:8" ht="15" customHeight="1" x14ac:dyDescent="0.25">
      <c r="B136" s="178" t="s">
        <v>352</v>
      </c>
      <c r="C136" s="157" t="s">
        <v>353</v>
      </c>
      <c r="D136" s="157" t="s">
        <v>354</v>
      </c>
      <c r="E136" s="163">
        <f>28+60</f>
        <v>88</v>
      </c>
      <c r="F136" s="183">
        <v>37.299999999999997</v>
      </c>
      <c r="G136" s="180"/>
      <c r="H136" s="183">
        <f t="shared" si="1"/>
        <v>3282.3999999999996</v>
      </c>
    </row>
    <row r="137" spans="2:8" ht="15" customHeight="1" x14ac:dyDescent="0.25">
      <c r="B137" s="178" t="s">
        <v>355</v>
      </c>
      <c r="C137" s="157" t="s">
        <v>356</v>
      </c>
      <c r="D137" s="157" t="s">
        <v>357</v>
      </c>
      <c r="E137" s="163"/>
      <c r="F137" s="164"/>
      <c r="G137" s="180"/>
      <c r="H137" s="183">
        <f t="shared" si="1"/>
        <v>0</v>
      </c>
    </row>
    <row r="138" spans="2:8" ht="15" customHeight="1" x14ac:dyDescent="0.25">
      <c r="B138" s="178" t="s">
        <v>358</v>
      </c>
      <c r="C138" s="157" t="s">
        <v>359</v>
      </c>
      <c r="D138" s="157" t="s">
        <v>360</v>
      </c>
      <c r="E138" s="163"/>
      <c r="F138" s="183"/>
      <c r="G138" s="180"/>
      <c r="H138" s="183">
        <f t="shared" si="1"/>
        <v>0</v>
      </c>
    </row>
    <row r="139" spans="2:8" ht="15" customHeight="1" x14ac:dyDescent="0.25">
      <c r="B139" s="178" t="s">
        <v>361</v>
      </c>
      <c r="C139" s="157" t="s">
        <v>362</v>
      </c>
      <c r="D139" s="157" t="s">
        <v>363</v>
      </c>
      <c r="E139" s="163">
        <v>60</v>
      </c>
      <c r="F139" s="183"/>
      <c r="G139" s="180"/>
      <c r="H139" s="183"/>
    </row>
    <row r="140" spans="2:8" ht="15" customHeight="1" x14ac:dyDescent="0.25">
      <c r="B140" s="178" t="s">
        <v>364</v>
      </c>
      <c r="C140" s="157" t="s">
        <v>365</v>
      </c>
      <c r="D140" s="157" t="s">
        <v>366</v>
      </c>
      <c r="E140" s="163"/>
      <c r="F140" s="183"/>
      <c r="G140" s="180"/>
      <c r="H140" s="183">
        <f t="shared" si="1"/>
        <v>0</v>
      </c>
    </row>
    <row r="141" spans="2:8" ht="15" customHeight="1" x14ac:dyDescent="0.25">
      <c r="B141" s="178" t="s">
        <v>367</v>
      </c>
      <c r="C141" s="157" t="s">
        <v>365</v>
      </c>
      <c r="D141" s="157" t="s">
        <v>368</v>
      </c>
      <c r="E141" s="163">
        <v>39</v>
      </c>
      <c r="F141" s="183">
        <v>24.6</v>
      </c>
      <c r="G141" s="180"/>
      <c r="H141" s="183">
        <f t="shared" si="1"/>
        <v>959.40000000000009</v>
      </c>
    </row>
    <row r="142" spans="2:8" ht="15" customHeight="1" x14ac:dyDescent="0.25">
      <c r="B142" s="178" t="s">
        <v>369</v>
      </c>
      <c r="C142" s="157" t="s">
        <v>370</v>
      </c>
      <c r="D142" s="157" t="s">
        <v>371</v>
      </c>
      <c r="E142" s="163">
        <v>1</v>
      </c>
      <c r="F142" s="183">
        <v>24.6</v>
      </c>
      <c r="G142" s="180"/>
      <c r="H142" s="183">
        <f t="shared" si="1"/>
        <v>24.6</v>
      </c>
    </row>
    <row r="143" spans="2:8" ht="15" customHeight="1" x14ac:dyDescent="0.25">
      <c r="B143" s="178" t="s">
        <v>372</v>
      </c>
      <c r="C143" s="157" t="s">
        <v>370</v>
      </c>
      <c r="D143" s="157" t="s">
        <v>373</v>
      </c>
      <c r="E143" s="163">
        <f>41+48</f>
        <v>89</v>
      </c>
      <c r="F143" s="183">
        <v>24.6</v>
      </c>
      <c r="G143" s="180"/>
      <c r="H143" s="183">
        <f t="shared" si="1"/>
        <v>2189.4</v>
      </c>
    </row>
    <row r="144" spans="2:8" ht="15" customHeight="1" x14ac:dyDescent="0.25">
      <c r="B144" s="178" t="s">
        <v>374</v>
      </c>
      <c r="C144" s="157" t="s">
        <v>370</v>
      </c>
      <c r="D144" s="157" t="s">
        <v>375</v>
      </c>
      <c r="E144" s="163">
        <v>7</v>
      </c>
      <c r="F144" s="164">
        <v>24.6</v>
      </c>
      <c r="G144" s="180"/>
      <c r="H144" s="183">
        <f t="shared" si="1"/>
        <v>172.20000000000002</v>
      </c>
    </row>
    <row r="145" spans="2:8" ht="15" customHeight="1" x14ac:dyDescent="0.25">
      <c r="B145" s="178" t="s">
        <v>376</v>
      </c>
      <c r="C145" s="157" t="s">
        <v>377</v>
      </c>
      <c r="D145" s="157" t="s">
        <v>378</v>
      </c>
      <c r="E145" s="163">
        <f>11+174</f>
        <v>185</v>
      </c>
      <c r="F145" s="164">
        <v>1475</v>
      </c>
      <c r="G145" s="180"/>
      <c r="H145" s="183">
        <f t="shared" ref="H145:H208" si="2">E145*F145</f>
        <v>272875</v>
      </c>
    </row>
    <row r="146" spans="2:8" ht="15" customHeight="1" x14ac:dyDescent="0.25">
      <c r="B146" s="178" t="s">
        <v>379</v>
      </c>
      <c r="C146" s="157" t="s">
        <v>380</v>
      </c>
      <c r="D146" s="157" t="s">
        <v>381</v>
      </c>
      <c r="E146" s="163"/>
      <c r="F146" s="164"/>
      <c r="G146" s="180"/>
      <c r="H146" s="183">
        <f t="shared" si="2"/>
        <v>0</v>
      </c>
    </row>
    <row r="147" spans="2:8" ht="15" customHeight="1" x14ac:dyDescent="0.25">
      <c r="B147" s="178" t="s">
        <v>382</v>
      </c>
      <c r="C147" s="157" t="s">
        <v>380</v>
      </c>
      <c r="D147" s="157" t="s">
        <v>383</v>
      </c>
      <c r="E147" s="163"/>
      <c r="F147" s="164"/>
      <c r="G147" s="180"/>
      <c r="H147" s="183">
        <f t="shared" si="2"/>
        <v>0</v>
      </c>
    </row>
    <row r="148" spans="2:8" ht="15" customHeight="1" x14ac:dyDescent="0.25">
      <c r="B148" s="178" t="s">
        <v>384</v>
      </c>
      <c r="C148" s="157" t="s">
        <v>385</v>
      </c>
      <c r="D148" s="157" t="s">
        <v>386</v>
      </c>
      <c r="E148" s="163">
        <v>35</v>
      </c>
      <c r="F148" s="183">
        <v>34</v>
      </c>
      <c r="G148" s="180"/>
      <c r="H148" s="183">
        <f t="shared" si="2"/>
        <v>1190</v>
      </c>
    </row>
    <row r="149" spans="2:8" ht="15" customHeight="1" x14ac:dyDescent="0.25">
      <c r="B149" s="178" t="s">
        <v>387</v>
      </c>
      <c r="C149" s="157" t="s">
        <v>388</v>
      </c>
      <c r="D149" s="157" t="s">
        <v>389</v>
      </c>
      <c r="E149" s="163">
        <f>42+206</f>
        <v>248</v>
      </c>
      <c r="F149" s="183">
        <v>29.03</v>
      </c>
      <c r="G149" s="180"/>
      <c r="H149" s="183">
        <f t="shared" si="2"/>
        <v>7199.4400000000005</v>
      </c>
    </row>
    <row r="150" spans="2:8" ht="15" customHeight="1" x14ac:dyDescent="0.25">
      <c r="B150" s="178" t="s">
        <v>390</v>
      </c>
      <c r="C150" s="157" t="s">
        <v>388</v>
      </c>
      <c r="D150" s="157" t="s">
        <v>391</v>
      </c>
      <c r="E150" s="163">
        <f>12+1</f>
        <v>13</v>
      </c>
      <c r="F150" s="183">
        <v>47.2</v>
      </c>
      <c r="G150" s="180"/>
      <c r="H150" s="183">
        <f t="shared" si="2"/>
        <v>613.6</v>
      </c>
    </row>
    <row r="151" spans="2:8" ht="15" customHeight="1" x14ac:dyDescent="0.25">
      <c r="B151" s="178" t="s">
        <v>392</v>
      </c>
      <c r="C151" s="157" t="s">
        <v>393</v>
      </c>
      <c r="D151" s="157" t="s">
        <v>394</v>
      </c>
      <c r="E151" s="163">
        <v>1</v>
      </c>
      <c r="F151" s="183"/>
      <c r="G151" s="180"/>
      <c r="H151" s="183">
        <f t="shared" si="2"/>
        <v>0</v>
      </c>
    </row>
    <row r="152" spans="2:8" ht="15" customHeight="1" x14ac:dyDescent="0.25">
      <c r="B152" s="178" t="s">
        <v>395</v>
      </c>
      <c r="C152" s="157" t="s">
        <v>393</v>
      </c>
      <c r="D152" s="157" t="s">
        <v>396</v>
      </c>
      <c r="E152" s="163"/>
      <c r="F152" s="183"/>
      <c r="G152" s="180"/>
      <c r="H152" s="183">
        <f t="shared" si="2"/>
        <v>0</v>
      </c>
    </row>
    <row r="153" spans="2:8" ht="15" customHeight="1" x14ac:dyDescent="0.25">
      <c r="B153" s="178" t="s">
        <v>397</v>
      </c>
      <c r="C153" s="157" t="s">
        <v>398</v>
      </c>
      <c r="D153" s="157" t="s">
        <v>394</v>
      </c>
      <c r="E153" s="163"/>
      <c r="F153" s="183"/>
      <c r="G153" s="180"/>
      <c r="H153" s="183">
        <f t="shared" si="2"/>
        <v>0</v>
      </c>
    </row>
    <row r="154" spans="2:8" ht="15" customHeight="1" x14ac:dyDescent="0.25">
      <c r="B154" s="178" t="s">
        <v>399</v>
      </c>
      <c r="C154" s="157" t="s">
        <v>400</v>
      </c>
      <c r="D154" s="157" t="s">
        <v>401</v>
      </c>
      <c r="E154" s="163"/>
      <c r="F154" s="183"/>
      <c r="G154" s="180"/>
      <c r="H154" s="183">
        <f t="shared" si="2"/>
        <v>0</v>
      </c>
    </row>
    <row r="155" spans="2:8" ht="15" customHeight="1" x14ac:dyDescent="0.25">
      <c r="B155" s="178" t="s">
        <v>402</v>
      </c>
      <c r="C155" s="157" t="s">
        <v>400</v>
      </c>
      <c r="D155" s="157" t="s">
        <v>403</v>
      </c>
      <c r="E155" s="163"/>
      <c r="F155" s="183"/>
      <c r="G155" s="180"/>
      <c r="H155" s="183">
        <f t="shared" si="2"/>
        <v>0</v>
      </c>
    </row>
    <row r="156" spans="2:8" ht="15" customHeight="1" x14ac:dyDescent="0.25">
      <c r="B156" s="178" t="s">
        <v>404</v>
      </c>
      <c r="C156" s="157" t="s">
        <v>400</v>
      </c>
      <c r="D156" s="157" t="s">
        <v>405</v>
      </c>
      <c r="E156" s="163"/>
      <c r="F156" s="183"/>
      <c r="G156" s="180"/>
      <c r="H156" s="183">
        <f t="shared" si="2"/>
        <v>0</v>
      </c>
    </row>
    <row r="157" spans="2:8" ht="15" customHeight="1" x14ac:dyDescent="0.25">
      <c r="B157" s="178" t="s">
        <v>406</v>
      </c>
      <c r="C157" s="157" t="s">
        <v>407</v>
      </c>
      <c r="D157" s="157" t="s">
        <v>408</v>
      </c>
      <c r="E157" s="163">
        <v>460</v>
      </c>
      <c r="F157" s="183">
        <v>7.79</v>
      </c>
      <c r="G157" s="180"/>
      <c r="H157" s="183">
        <f t="shared" si="2"/>
        <v>3583.4</v>
      </c>
    </row>
    <row r="158" spans="2:8" ht="15" customHeight="1" x14ac:dyDescent="0.25">
      <c r="B158" s="178" t="s">
        <v>409</v>
      </c>
      <c r="C158" s="157" t="s">
        <v>410</v>
      </c>
      <c r="D158" s="157" t="s">
        <v>411</v>
      </c>
      <c r="E158" s="163"/>
      <c r="F158" s="183"/>
      <c r="G158" s="180"/>
      <c r="H158" s="183">
        <f t="shared" si="2"/>
        <v>0</v>
      </c>
    </row>
    <row r="159" spans="2:8" ht="15" customHeight="1" x14ac:dyDescent="0.25">
      <c r="B159" s="178" t="s">
        <v>412</v>
      </c>
      <c r="C159" s="157" t="s">
        <v>413</v>
      </c>
      <c r="D159" s="157" t="s">
        <v>414</v>
      </c>
      <c r="E159" s="163"/>
      <c r="F159" s="183"/>
      <c r="G159" s="180"/>
      <c r="H159" s="183">
        <f t="shared" si="2"/>
        <v>0</v>
      </c>
    </row>
    <row r="160" spans="2:8" ht="15" customHeight="1" x14ac:dyDescent="0.25">
      <c r="B160" s="178" t="s">
        <v>415</v>
      </c>
      <c r="C160" s="157" t="s">
        <v>413</v>
      </c>
      <c r="D160" s="157" t="s">
        <v>416</v>
      </c>
      <c r="E160" s="163">
        <v>17</v>
      </c>
      <c r="F160" s="183">
        <v>0</v>
      </c>
      <c r="G160" s="180"/>
      <c r="H160" s="183">
        <f t="shared" si="2"/>
        <v>0</v>
      </c>
    </row>
    <row r="161" spans="2:8" ht="15" customHeight="1" x14ac:dyDescent="0.25">
      <c r="B161" s="178" t="s">
        <v>417</v>
      </c>
      <c r="C161" s="157" t="s">
        <v>418</v>
      </c>
      <c r="D161" s="157" t="s">
        <v>419</v>
      </c>
      <c r="E161" s="163"/>
      <c r="F161" s="183"/>
      <c r="G161" s="180"/>
      <c r="H161" s="183">
        <f t="shared" si="2"/>
        <v>0</v>
      </c>
    </row>
    <row r="162" spans="2:8" ht="15" customHeight="1" x14ac:dyDescent="0.25">
      <c r="B162" s="178" t="s">
        <v>420</v>
      </c>
      <c r="C162" s="157" t="s">
        <v>418</v>
      </c>
      <c r="D162" s="157" t="s">
        <v>421</v>
      </c>
      <c r="E162" s="163"/>
      <c r="F162" s="183"/>
      <c r="G162" s="180"/>
      <c r="H162" s="183">
        <f t="shared" si="2"/>
        <v>0</v>
      </c>
    </row>
    <row r="163" spans="2:8" ht="15" customHeight="1" x14ac:dyDescent="0.25">
      <c r="B163" s="178" t="s">
        <v>422</v>
      </c>
      <c r="C163" s="157" t="s">
        <v>418</v>
      </c>
      <c r="D163" s="157" t="s">
        <v>423</v>
      </c>
      <c r="E163" s="163"/>
      <c r="F163" s="183"/>
      <c r="G163" s="180"/>
      <c r="H163" s="183">
        <f t="shared" si="2"/>
        <v>0</v>
      </c>
    </row>
    <row r="164" spans="2:8" ht="15" customHeight="1" x14ac:dyDescent="0.25">
      <c r="B164" s="178" t="s">
        <v>424</v>
      </c>
      <c r="C164" s="157" t="s">
        <v>418</v>
      </c>
      <c r="D164" s="157" t="s">
        <v>425</v>
      </c>
      <c r="E164" s="163"/>
      <c r="F164" s="183"/>
      <c r="G164" s="180"/>
      <c r="H164" s="183">
        <f t="shared" si="2"/>
        <v>0</v>
      </c>
    </row>
    <row r="165" spans="2:8" ht="15" customHeight="1" x14ac:dyDescent="0.25">
      <c r="B165" s="178" t="s">
        <v>426</v>
      </c>
      <c r="C165" s="157" t="s">
        <v>418</v>
      </c>
      <c r="D165" s="157" t="s">
        <v>427</v>
      </c>
      <c r="E165" s="163"/>
      <c r="F165" s="183"/>
      <c r="G165" s="180"/>
      <c r="H165" s="183">
        <f t="shared" si="2"/>
        <v>0</v>
      </c>
    </row>
    <row r="166" spans="2:8" ht="15" customHeight="1" x14ac:dyDescent="0.25">
      <c r="B166" s="178" t="s">
        <v>428</v>
      </c>
      <c r="C166" s="157" t="s">
        <v>418</v>
      </c>
      <c r="D166" s="157" t="s">
        <v>429</v>
      </c>
      <c r="E166" s="163"/>
      <c r="F166" s="183"/>
      <c r="G166" s="180"/>
      <c r="H166" s="183">
        <f t="shared" si="2"/>
        <v>0</v>
      </c>
    </row>
    <row r="167" spans="2:8" ht="15" customHeight="1" x14ac:dyDescent="0.25">
      <c r="B167" s="178" t="s">
        <v>430</v>
      </c>
      <c r="C167" s="157" t="s">
        <v>431</v>
      </c>
      <c r="D167" s="157" t="s">
        <v>432</v>
      </c>
      <c r="E167" s="163"/>
      <c r="F167" s="183"/>
      <c r="G167" s="180"/>
      <c r="H167" s="183">
        <f t="shared" si="2"/>
        <v>0</v>
      </c>
    </row>
    <row r="168" spans="2:8" ht="15" customHeight="1" x14ac:dyDescent="0.25">
      <c r="B168" s="178" t="s">
        <v>433</v>
      </c>
      <c r="C168" s="157" t="s">
        <v>434</v>
      </c>
      <c r="D168" s="157" t="s">
        <v>435</v>
      </c>
      <c r="E168" s="163"/>
      <c r="F168" s="183"/>
      <c r="G168" s="180"/>
      <c r="H168" s="183">
        <f t="shared" si="2"/>
        <v>0</v>
      </c>
    </row>
    <row r="169" spans="2:8" ht="15" customHeight="1" x14ac:dyDescent="0.25">
      <c r="B169" s="178" t="s">
        <v>436</v>
      </c>
      <c r="C169" s="157" t="s">
        <v>437</v>
      </c>
      <c r="D169" s="157" t="s">
        <v>438</v>
      </c>
      <c r="E169" s="163">
        <v>35990</v>
      </c>
      <c r="F169" s="183">
        <v>0.65</v>
      </c>
      <c r="G169" s="180"/>
      <c r="H169" s="183">
        <f t="shared" si="2"/>
        <v>23393.5</v>
      </c>
    </row>
    <row r="170" spans="2:8" ht="15" customHeight="1" x14ac:dyDescent="0.25">
      <c r="B170" s="178" t="s">
        <v>439</v>
      </c>
      <c r="C170" s="157" t="s">
        <v>437</v>
      </c>
      <c r="D170" s="157" t="s">
        <v>440</v>
      </c>
      <c r="E170" s="163">
        <v>8210</v>
      </c>
      <c r="F170" s="183">
        <v>0.55000000000000004</v>
      </c>
      <c r="G170" s="180"/>
      <c r="H170" s="183">
        <f t="shared" si="2"/>
        <v>4515.5</v>
      </c>
    </row>
    <row r="171" spans="2:8" ht="15" customHeight="1" x14ac:dyDescent="0.25">
      <c r="B171" s="178" t="s">
        <v>441</v>
      </c>
      <c r="C171" s="157" t="s">
        <v>442</v>
      </c>
      <c r="D171" s="157" t="s">
        <v>443</v>
      </c>
      <c r="E171" s="163">
        <f>21+72</f>
        <v>93</v>
      </c>
      <c r="F171" s="183">
        <v>4.63</v>
      </c>
      <c r="G171" s="180"/>
      <c r="H171" s="183">
        <f t="shared" si="2"/>
        <v>430.59</v>
      </c>
    </row>
    <row r="172" spans="2:8" ht="15" customHeight="1" x14ac:dyDescent="0.25">
      <c r="B172" s="178" t="s">
        <v>444</v>
      </c>
      <c r="C172" s="157" t="s">
        <v>442</v>
      </c>
      <c r="D172" s="157" t="s">
        <v>445</v>
      </c>
      <c r="E172" s="163">
        <f>1043+432</f>
        <v>1475</v>
      </c>
      <c r="F172" s="183">
        <v>3.63</v>
      </c>
      <c r="G172" s="180"/>
      <c r="H172" s="183">
        <f t="shared" si="2"/>
        <v>5354.25</v>
      </c>
    </row>
    <row r="173" spans="2:8" ht="15" customHeight="1" x14ac:dyDescent="0.25">
      <c r="B173" s="178" t="s">
        <v>446</v>
      </c>
      <c r="C173" s="157" t="s">
        <v>447</v>
      </c>
      <c r="D173" s="157" t="s">
        <v>448</v>
      </c>
      <c r="E173" s="163">
        <v>180</v>
      </c>
      <c r="F173" s="183">
        <v>5.83</v>
      </c>
      <c r="G173" s="180"/>
      <c r="H173" s="183">
        <f t="shared" si="2"/>
        <v>1049.4000000000001</v>
      </c>
    </row>
    <row r="174" spans="2:8" ht="15" customHeight="1" x14ac:dyDescent="0.25">
      <c r="B174" s="178" t="s">
        <v>449</v>
      </c>
      <c r="C174" s="157" t="s">
        <v>450</v>
      </c>
      <c r="D174" s="157" t="s">
        <v>451</v>
      </c>
      <c r="E174" s="163">
        <f>11+21</f>
        <v>32</v>
      </c>
      <c r="F174" s="183">
        <v>7.08</v>
      </c>
      <c r="G174" s="180"/>
      <c r="H174" s="183">
        <f t="shared" si="2"/>
        <v>226.56</v>
      </c>
    </row>
    <row r="175" spans="2:8" ht="15" customHeight="1" x14ac:dyDescent="0.25">
      <c r="B175" s="178" t="s">
        <v>452</v>
      </c>
      <c r="C175" s="157" t="s">
        <v>453</v>
      </c>
      <c r="D175" s="157" t="s">
        <v>454</v>
      </c>
      <c r="E175" s="163">
        <f>595+86</f>
        <v>681</v>
      </c>
      <c r="F175" s="183">
        <v>11.02</v>
      </c>
      <c r="G175" s="180"/>
      <c r="H175" s="183">
        <f t="shared" si="2"/>
        <v>7504.62</v>
      </c>
    </row>
    <row r="176" spans="2:8" ht="15" customHeight="1" x14ac:dyDescent="0.25">
      <c r="B176" s="178" t="s">
        <v>455</v>
      </c>
      <c r="C176" s="157" t="s">
        <v>456</v>
      </c>
      <c r="D176" s="157" t="s">
        <v>457</v>
      </c>
      <c r="E176" s="163">
        <v>1665</v>
      </c>
      <c r="F176" s="183">
        <v>3.08</v>
      </c>
      <c r="G176" s="180"/>
      <c r="H176" s="183">
        <f t="shared" si="2"/>
        <v>5128.2</v>
      </c>
    </row>
    <row r="177" spans="2:8" ht="15" customHeight="1" x14ac:dyDescent="0.25">
      <c r="B177" s="178" t="s">
        <v>458</v>
      </c>
      <c r="C177" s="157" t="s">
        <v>459</v>
      </c>
      <c r="D177" s="157" t="s">
        <v>460</v>
      </c>
      <c r="E177" s="163">
        <f>239+3508</f>
        <v>3747</v>
      </c>
      <c r="F177" s="183">
        <v>22</v>
      </c>
      <c r="G177" s="180"/>
      <c r="H177" s="183">
        <f t="shared" si="2"/>
        <v>82434</v>
      </c>
    </row>
    <row r="178" spans="2:8" ht="15" customHeight="1" x14ac:dyDescent="0.25">
      <c r="B178" s="178" t="s">
        <v>461</v>
      </c>
      <c r="C178" s="157" t="s">
        <v>459</v>
      </c>
      <c r="D178" s="157" t="s">
        <v>462</v>
      </c>
      <c r="E178" s="163">
        <v>1131</v>
      </c>
      <c r="F178" s="183">
        <v>18</v>
      </c>
      <c r="G178" s="180"/>
      <c r="H178" s="183">
        <f t="shared" si="2"/>
        <v>20358</v>
      </c>
    </row>
    <row r="179" spans="2:8" ht="15" customHeight="1" x14ac:dyDescent="0.25">
      <c r="B179" s="178" t="s">
        <v>463</v>
      </c>
      <c r="C179" s="157" t="s">
        <v>459</v>
      </c>
      <c r="D179" s="157" t="s">
        <v>464</v>
      </c>
      <c r="E179" s="163">
        <f>211+636</f>
        <v>847</v>
      </c>
      <c r="F179" s="183">
        <v>22</v>
      </c>
      <c r="G179" s="180"/>
      <c r="H179" s="183">
        <f t="shared" si="2"/>
        <v>18634</v>
      </c>
    </row>
    <row r="180" spans="2:8" ht="15" customHeight="1" x14ac:dyDescent="0.25">
      <c r="B180" s="178" t="s">
        <v>465</v>
      </c>
      <c r="C180" s="157" t="s">
        <v>459</v>
      </c>
      <c r="D180" s="157" t="s">
        <v>466</v>
      </c>
      <c r="E180" s="163">
        <v>864</v>
      </c>
      <c r="F180" s="183"/>
      <c r="G180" s="180"/>
      <c r="H180" s="183"/>
    </row>
    <row r="181" spans="2:8" ht="15" customHeight="1" x14ac:dyDescent="0.25">
      <c r="B181" s="178" t="s">
        <v>467</v>
      </c>
      <c r="C181" s="157" t="s">
        <v>459</v>
      </c>
      <c r="D181" s="157" t="s">
        <v>468</v>
      </c>
      <c r="E181" s="163">
        <v>680</v>
      </c>
      <c r="F181" s="183">
        <v>18</v>
      </c>
      <c r="G181" s="180"/>
      <c r="H181" s="183">
        <f t="shared" si="2"/>
        <v>12240</v>
      </c>
    </row>
    <row r="182" spans="2:8" ht="15" customHeight="1" x14ac:dyDescent="0.25">
      <c r="B182" s="178" t="s">
        <v>469</v>
      </c>
      <c r="C182" s="157" t="s">
        <v>470</v>
      </c>
      <c r="D182" s="157" t="s">
        <v>471</v>
      </c>
      <c r="E182" s="163">
        <f>14+66</f>
        <v>80</v>
      </c>
      <c r="F182" s="183">
        <v>299.01</v>
      </c>
      <c r="G182" s="180"/>
      <c r="H182" s="183">
        <f t="shared" si="2"/>
        <v>23920.799999999999</v>
      </c>
    </row>
    <row r="183" spans="2:8" ht="15" customHeight="1" x14ac:dyDescent="0.25">
      <c r="B183" s="178" t="s">
        <v>472</v>
      </c>
      <c r="C183" s="157" t="s">
        <v>473</v>
      </c>
      <c r="D183" s="157" t="s">
        <v>474</v>
      </c>
      <c r="E183" s="163">
        <f>8+83</f>
        <v>91</v>
      </c>
      <c r="F183" s="183">
        <v>23</v>
      </c>
      <c r="G183" s="180"/>
      <c r="H183" s="183">
        <f t="shared" si="2"/>
        <v>2093</v>
      </c>
    </row>
    <row r="184" spans="2:8" ht="15" customHeight="1" x14ac:dyDescent="0.25">
      <c r="B184" s="178" t="s">
        <v>475</v>
      </c>
      <c r="C184" s="157" t="s">
        <v>476</v>
      </c>
      <c r="D184" s="157" t="s">
        <v>477</v>
      </c>
      <c r="E184" s="163">
        <v>2</v>
      </c>
      <c r="F184" s="183">
        <v>302.5</v>
      </c>
      <c r="G184" s="180"/>
      <c r="H184" s="183">
        <f t="shared" si="2"/>
        <v>605</v>
      </c>
    </row>
    <row r="185" spans="2:8" ht="15" customHeight="1" x14ac:dyDescent="0.25">
      <c r="B185" s="178" t="s">
        <v>478</v>
      </c>
      <c r="C185" s="157" t="s">
        <v>479</v>
      </c>
      <c r="D185" s="157" t="s">
        <v>480</v>
      </c>
      <c r="E185" s="163">
        <v>7</v>
      </c>
      <c r="F185" s="183">
        <v>1180</v>
      </c>
      <c r="G185" s="180"/>
      <c r="H185" s="183">
        <f t="shared" si="2"/>
        <v>8260</v>
      </c>
    </row>
    <row r="186" spans="2:8" ht="15" customHeight="1" x14ac:dyDescent="0.25">
      <c r="B186" s="178" t="s">
        <v>481</v>
      </c>
      <c r="C186" s="157" t="s">
        <v>482</v>
      </c>
      <c r="D186" s="157" t="s">
        <v>483</v>
      </c>
      <c r="E186" s="163">
        <f>54+17</f>
        <v>71</v>
      </c>
      <c r="F186" s="183">
        <v>195</v>
      </c>
      <c r="G186" s="180"/>
      <c r="H186" s="183">
        <f t="shared" si="2"/>
        <v>13845</v>
      </c>
    </row>
    <row r="187" spans="2:8" ht="15" customHeight="1" x14ac:dyDescent="0.25">
      <c r="B187" s="178" t="s">
        <v>484</v>
      </c>
      <c r="C187" s="157" t="s">
        <v>485</v>
      </c>
      <c r="D187" s="157" t="s">
        <v>486</v>
      </c>
      <c r="E187" s="163">
        <f>248+468</f>
        <v>716</v>
      </c>
      <c r="F187" s="183">
        <v>6.77</v>
      </c>
      <c r="G187" s="180"/>
      <c r="H187" s="183">
        <f t="shared" si="2"/>
        <v>4847.32</v>
      </c>
    </row>
    <row r="188" spans="2:8" ht="15" customHeight="1" x14ac:dyDescent="0.25">
      <c r="B188" s="178" t="s">
        <v>487</v>
      </c>
      <c r="C188" s="157" t="s">
        <v>485</v>
      </c>
      <c r="D188" s="157" t="s">
        <v>488</v>
      </c>
      <c r="E188" s="163">
        <v>468</v>
      </c>
      <c r="F188" s="183">
        <v>6.77</v>
      </c>
      <c r="G188" s="180"/>
      <c r="H188" s="183">
        <f t="shared" si="2"/>
        <v>3168.3599999999997</v>
      </c>
    </row>
    <row r="189" spans="2:8" ht="15" customHeight="1" x14ac:dyDescent="0.25">
      <c r="B189" s="178" t="s">
        <v>489</v>
      </c>
      <c r="C189" s="157" t="s">
        <v>490</v>
      </c>
      <c r="D189" s="157" t="s">
        <v>491</v>
      </c>
      <c r="E189" s="163">
        <v>85</v>
      </c>
      <c r="F189" s="183">
        <v>6.77</v>
      </c>
      <c r="G189" s="180"/>
      <c r="H189" s="183">
        <f t="shared" si="2"/>
        <v>575.44999999999993</v>
      </c>
    </row>
    <row r="190" spans="2:8" ht="15" customHeight="1" x14ac:dyDescent="0.25">
      <c r="B190" s="178" t="s">
        <v>492</v>
      </c>
      <c r="C190" s="157" t="s">
        <v>493</v>
      </c>
      <c r="D190" s="157" t="s">
        <v>494</v>
      </c>
      <c r="E190" s="163">
        <v>62</v>
      </c>
      <c r="F190" s="183">
        <v>6.77</v>
      </c>
      <c r="G190" s="180"/>
      <c r="H190" s="183">
        <f t="shared" si="2"/>
        <v>419.73999999999995</v>
      </c>
    </row>
    <row r="191" spans="2:8" ht="15" customHeight="1" x14ac:dyDescent="0.25">
      <c r="B191" s="178" t="s">
        <v>495</v>
      </c>
      <c r="C191" s="157" t="s">
        <v>485</v>
      </c>
      <c r="D191" s="157" t="s">
        <v>496</v>
      </c>
      <c r="E191" s="163"/>
      <c r="F191" s="183"/>
      <c r="G191" s="180"/>
      <c r="H191" s="183">
        <f t="shared" si="2"/>
        <v>0</v>
      </c>
    </row>
    <row r="192" spans="2:8" ht="15" customHeight="1" x14ac:dyDescent="0.25">
      <c r="B192" s="178" t="s">
        <v>497</v>
      </c>
      <c r="C192" s="157" t="s">
        <v>490</v>
      </c>
      <c r="D192" s="157" t="s">
        <v>498</v>
      </c>
      <c r="E192" s="163"/>
      <c r="F192" s="183"/>
      <c r="G192" s="180"/>
      <c r="H192" s="183">
        <f t="shared" si="2"/>
        <v>0</v>
      </c>
    </row>
    <row r="193" spans="2:8" ht="15" customHeight="1" x14ac:dyDescent="0.25">
      <c r="B193" s="178" t="s">
        <v>499</v>
      </c>
      <c r="C193" s="157" t="s">
        <v>500</v>
      </c>
      <c r="D193" s="157" t="s">
        <v>501</v>
      </c>
      <c r="E193" s="163"/>
      <c r="F193" s="183"/>
      <c r="G193" s="180"/>
      <c r="H193" s="183">
        <f t="shared" si="2"/>
        <v>0</v>
      </c>
    </row>
    <row r="194" spans="2:8" ht="15" customHeight="1" x14ac:dyDescent="0.25">
      <c r="B194" s="178" t="s">
        <v>502</v>
      </c>
      <c r="C194" s="157" t="s">
        <v>500</v>
      </c>
      <c r="D194" s="157" t="s">
        <v>503</v>
      </c>
      <c r="E194" s="163"/>
      <c r="F194" s="183"/>
      <c r="G194" s="180"/>
      <c r="H194" s="183">
        <f t="shared" si="2"/>
        <v>0</v>
      </c>
    </row>
    <row r="195" spans="2:8" ht="15" customHeight="1" x14ac:dyDescent="0.25">
      <c r="B195" s="178" t="s">
        <v>504</v>
      </c>
      <c r="C195" s="157" t="s">
        <v>505</v>
      </c>
      <c r="D195" s="157" t="s">
        <v>506</v>
      </c>
      <c r="E195" s="163"/>
      <c r="F195" s="183"/>
      <c r="G195" s="180"/>
      <c r="H195" s="183">
        <f t="shared" si="2"/>
        <v>0</v>
      </c>
    </row>
    <row r="196" spans="2:8" ht="15" customHeight="1" x14ac:dyDescent="0.25">
      <c r="B196" s="178" t="s">
        <v>507</v>
      </c>
      <c r="C196" s="157" t="s">
        <v>508</v>
      </c>
      <c r="D196" s="157" t="s">
        <v>509</v>
      </c>
      <c r="E196" s="163"/>
      <c r="F196" s="183"/>
      <c r="G196" s="180"/>
      <c r="H196" s="183">
        <f t="shared" si="2"/>
        <v>0</v>
      </c>
    </row>
    <row r="197" spans="2:8" ht="15" customHeight="1" x14ac:dyDescent="0.25">
      <c r="B197" s="178" t="s">
        <v>510</v>
      </c>
      <c r="C197" s="157" t="s">
        <v>511</v>
      </c>
      <c r="D197" s="157" t="s">
        <v>512</v>
      </c>
      <c r="E197" s="163"/>
      <c r="F197" s="183"/>
      <c r="G197" s="180"/>
      <c r="H197" s="183">
        <f t="shared" si="2"/>
        <v>0</v>
      </c>
    </row>
    <row r="198" spans="2:8" ht="15" customHeight="1" x14ac:dyDescent="0.25">
      <c r="B198" s="178" t="s">
        <v>513</v>
      </c>
      <c r="C198" s="157" t="s">
        <v>514</v>
      </c>
      <c r="D198" s="157" t="s">
        <v>515</v>
      </c>
      <c r="E198" s="163"/>
      <c r="F198" s="183"/>
      <c r="G198" s="180"/>
      <c r="H198" s="183">
        <f t="shared" si="2"/>
        <v>0</v>
      </c>
    </row>
    <row r="199" spans="2:8" ht="15" customHeight="1" x14ac:dyDescent="0.25">
      <c r="B199" s="178" t="s">
        <v>516</v>
      </c>
      <c r="C199" s="157" t="s">
        <v>517</v>
      </c>
      <c r="D199" s="157" t="s">
        <v>518</v>
      </c>
      <c r="E199" s="163">
        <v>3</v>
      </c>
      <c r="F199" s="183">
        <v>5</v>
      </c>
      <c r="G199" s="180"/>
      <c r="H199" s="183">
        <f t="shared" si="2"/>
        <v>15</v>
      </c>
    </row>
    <row r="200" spans="2:8" ht="15" customHeight="1" x14ac:dyDescent="0.25">
      <c r="B200" s="178" t="s">
        <v>519</v>
      </c>
      <c r="C200" s="157" t="s">
        <v>517</v>
      </c>
      <c r="D200" s="157" t="s">
        <v>520</v>
      </c>
      <c r="E200" s="163">
        <v>10</v>
      </c>
      <c r="F200" s="183">
        <v>5</v>
      </c>
      <c r="G200" s="180"/>
      <c r="H200" s="183">
        <f t="shared" si="2"/>
        <v>50</v>
      </c>
    </row>
    <row r="201" spans="2:8" ht="15" customHeight="1" x14ac:dyDescent="0.25">
      <c r="B201" s="178" t="s">
        <v>521</v>
      </c>
      <c r="C201" s="157" t="s">
        <v>522</v>
      </c>
      <c r="D201" s="157" t="s">
        <v>523</v>
      </c>
      <c r="E201" s="163">
        <v>20</v>
      </c>
      <c r="F201" s="183">
        <v>607</v>
      </c>
      <c r="G201" s="180"/>
      <c r="H201" s="183">
        <f t="shared" si="2"/>
        <v>12140</v>
      </c>
    </row>
    <row r="202" spans="2:8" ht="15" customHeight="1" x14ac:dyDescent="0.25">
      <c r="B202" s="178" t="s">
        <v>524</v>
      </c>
      <c r="C202" s="157" t="s">
        <v>525</v>
      </c>
      <c r="D202" s="157" t="s">
        <v>526</v>
      </c>
      <c r="E202" s="163"/>
      <c r="F202" s="183"/>
      <c r="G202" s="180"/>
      <c r="H202" s="183">
        <f t="shared" si="2"/>
        <v>0</v>
      </c>
    </row>
    <row r="203" spans="2:8" ht="15" customHeight="1" x14ac:dyDescent="0.25">
      <c r="B203" s="178" t="s">
        <v>527</v>
      </c>
      <c r="C203" s="157" t="s">
        <v>525</v>
      </c>
      <c r="D203" s="157" t="s">
        <v>528</v>
      </c>
      <c r="E203" s="163">
        <v>99</v>
      </c>
      <c r="F203" s="183">
        <v>607</v>
      </c>
      <c r="G203" s="180"/>
      <c r="H203" s="183">
        <f t="shared" si="2"/>
        <v>60093</v>
      </c>
    </row>
    <row r="204" spans="2:8" ht="15" customHeight="1" x14ac:dyDescent="0.25">
      <c r="B204" s="178" t="s">
        <v>529</v>
      </c>
      <c r="C204" s="157" t="s">
        <v>530</v>
      </c>
      <c r="D204" s="157" t="s">
        <v>531</v>
      </c>
      <c r="E204" s="163">
        <v>635</v>
      </c>
      <c r="F204" s="183">
        <v>5</v>
      </c>
      <c r="G204" s="180"/>
      <c r="H204" s="183">
        <f t="shared" si="2"/>
        <v>3175</v>
      </c>
    </row>
    <row r="205" spans="2:8" ht="15" customHeight="1" x14ac:dyDescent="0.25">
      <c r="B205" s="178" t="s">
        <v>532</v>
      </c>
      <c r="C205" s="157" t="s">
        <v>533</v>
      </c>
      <c r="D205" s="157" t="s">
        <v>534</v>
      </c>
      <c r="E205" s="163">
        <v>33</v>
      </c>
      <c r="F205" s="183">
        <v>5</v>
      </c>
      <c r="G205" s="180"/>
      <c r="H205" s="183">
        <f t="shared" si="2"/>
        <v>165</v>
      </c>
    </row>
    <row r="206" spans="2:8" ht="15" customHeight="1" x14ac:dyDescent="0.25">
      <c r="B206" s="178" t="s">
        <v>535</v>
      </c>
      <c r="C206" s="157" t="s">
        <v>536</v>
      </c>
      <c r="D206" s="157" t="s">
        <v>537</v>
      </c>
      <c r="E206" s="163">
        <v>74</v>
      </c>
      <c r="F206" s="183">
        <v>92.8</v>
      </c>
      <c r="G206" s="180"/>
      <c r="H206" s="183">
        <f t="shared" si="2"/>
        <v>6867.2</v>
      </c>
    </row>
    <row r="207" spans="2:8" ht="15" customHeight="1" x14ac:dyDescent="0.25">
      <c r="B207" s="178" t="s">
        <v>538</v>
      </c>
      <c r="C207" s="157" t="s">
        <v>536</v>
      </c>
      <c r="D207" s="157" t="s">
        <v>539</v>
      </c>
      <c r="E207" s="163">
        <v>60</v>
      </c>
      <c r="F207" s="183">
        <v>76.14</v>
      </c>
      <c r="G207" s="180"/>
      <c r="H207" s="183">
        <f t="shared" si="2"/>
        <v>4568.3999999999996</v>
      </c>
    </row>
    <row r="208" spans="2:8" ht="15" customHeight="1" x14ac:dyDescent="0.25">
      <c r="B208" s="178" t="s">
        <v>540</v>
      </c>
      <c r="C208" s="157" t="s">
        <v>536</v>
      </c>
      <c r="D208" s="157" t="s">
        <v>541</v>
      </c>
      <c r="E208" s="163">
        <v>243</v>
      </c>
      <c r="F208" s="183">
        <v>68.88</v>
      </c>
      <c r="G208" s="180"/>
      <c r="H208" s="183">
        <f t="shared" si="2"/>
        <v>16737.84</v>
      </c>
    </row>
    <row r="209" spans="2:8" ht="15" customHeight="1" x14ac:dyDescent="0.25">
      <c r="B209" s="178" t="s">
        <v>542</v>
      </c>
      <c r="C209" s="157" t="s">
        <v>536</v>
      </c>
      <c r="D209" s="157" t="s">
        <v>543</v>
      </c>
      <c r="E209" s="163">
        <v>239</v>
      </c>
      <c r="F209" s="183">
        <v>17.12</v>
      </c>
      <c r="G209" s="180"/>
      <c r="H209" s="183">
        <f t="shared" ref="H209:H272" si="3">E209*F209</f>
        <v>4091.6800000000003</v>
      </c>
    </row>
    <row r="210" spans="2:8" ht="15" customHeight="1" x14ac:dyDescent="0.25">
      <c r="B210" s="178" t="s">
        <v>544</v>
      </c>
      <c r="C210" s="157" t="s">
        <v>545</v>
      </c>
      <c r="D210" s="157" t="s">
        <v>546</v>
      </c>
      <c r="E210" s="163">
        <v>1700</v>
      </c>
      <c r="F210" s="183">
        <v>13.51</v>
      </c>
      <c r="G210" s="180"/>
      <c r="H210" s="183">
        <f t="shared" si="3"/>
        <v>22967</v>
      </c>
    </row>
    <row r="211" spans="2:8" ht="15" customHeight="1" x14ac:dyDescent="0.25">
      <c r="B211" s="178" t="s">
        <v>547</v>
      </c>
      <c r="C211" s="157" t="s">
        <v>545</v>
      </c>
      <c r="D211" s="157" t="s">
        <v>548</v>
      </c>
      <c r="E211" s="163">
        <v>1025</v>
      </c>
      <c r="F211" s="183">
        <v>13.51</v>
      </c>
      <c r="G211" s="180"/>
      <c r="H211" s="183">
        <f t="shared" si="3"/>
        <v>13847.75</v>
      </c>
    </row>
    <row r="212" spans="2:8" ht="15" customHeight="1" x14ac:dyDescent="0.25">
      <c r="B212" s="178" t="s">
        <v>549</v>
      </c>
      <c r="C212" s="157" t="s">
        <v>550</v>
      </c>
      <c r="D212" s="157" t="s">
        <v>551</v>
      </c>
      <c r="E212" s="163"/>
      <c r="F212" s="183"/>
      <c r="G212" s="180"/>
      <c r="H212" s="183">
        <f t="shared" si="3"/>
        <v>0</v>
      </c>
    </row>
    <row r="213" spans="2:8" ht="15" customHeight="1" x14ac:dyDescent="0.25">
      <c r="B213" s="178" t="s">
        <v>552</v>
      </c>
      <c r="C213" s="157" t="s">
        <v>550</v>
      </c>
      <c r="D213" s="157" t="s">
        <v>553</v>
      </c>
      <c r="E213" s="163">
        <f>12+34</f>
        <v>46</v>
      </c>
      <c r="F213" s="183">
        <v>188</v>
      </c>
      <c r="G213" s="180"/>
      <c r="H213" s="183">
        <f t="shared" si="3"/>
        <v>8648</v>
      </c>
    </row>
    <row r="214" spans="2:8" ht="15" customHeight="1" x14ac:dyDescent="0.25">
      <c r="B214" s="178" t="s">
        <v>554</v>
      </c>
      <c r="C214" s="157" t="s">
        <v>555</v>
      </c>
      <c r="D214" s="157" t="s">
        <v>556</v>
      </c>
      <c r="E214" s="163">
        <v>294</v>
      </c>
      <c r="F214" s="183">
        <v>13</v>
      </c>
      <c r="G214" s="180"/>
      <c r="H214" s="183">
        <f t="shared" si="3"/>
        <v>3822</v>
      </c>
    </row>
    <row r="215" spans="2:8" ht="15" customHeight="1" x14ac:dyDescent="0.25">
      <c r="B215" s="178" t="s">
        <v>557</v>
      </c>
      <c r="C215" s="157" t="s">
        <v>558</v>
      </c>
      <c r="D215" s="157" t="s">
        <v>559</v>
      </c>
      <c r="E215" s="163">
        <v>4</v>
      </c>
      <c r="F215" s="183">
        <v>6.5</v>
      </c>
      <c r="G215" s="180"/>
      <c r="H215" s="183">
        <f t="shared" si="3"/>
        <v>26</v>
      </c>
    </row>
    <row r="216" spans="2:8" ht="15" customHeight="1" x14ac:dyDescent="0.25">
      <c r="B216" s="178" t="s">
        <v>560</v>
      </c>
      <c r="C216" s="157" t="s">
        <v>561</v>
      </c>
      <c r="D216" s="157" t="s">
        <v>562</v>
      </c>
      <c r="E216" s="163"/>
      <c r="F216" s="183"/>
      <c r="G216" s="180"/>
      <c r="H216" s="183">
        <f t="shared" si="3"/>
        <v>0</v>
      </c>
    </row>
    <row r="217" spans="2:8" ht="15" customHeight="1" x14ac:dyDescent="0.25">
      <c r="B217" s="178" t="s">
        <v>563</v>
      </c>
      <c r="C217" s="157" t="s">
        <v>564</v>
      </c>
      <c r="D217" s="157" t="s">
        <v>565</v>
      </c>
      <c r="E217" s="163">
        <f>1+7</f>
        <v>8</v>
      </c>
      <c r="F217" s="183">
        <v>1711</v>
      </c>
      <c r="G217" s="180"/>
      <c r="H217" s="183">
        <f t="shared" si="3"/>
        <v>13688</v>
      </c>
    </row>
    <row r="218" spans="2:8" ht="15" customHeight="1" x14ac:dyDescent="0.25">
      <c r="B218" s="178" t="s">
        <v>566</v>
      </c>
      <c r="C218" s="157" t="s">
        <v>564</v>
      </c>
      <c r="D218" s="157" t="s">
        <v>567</v>
      </c>
      <c r="E218" s="163">
        <v>4</v>
      </c>
      <c r="F218" s="183">
        <v>1713</v>
      </c>
      <c r="G218" s="180"/>
      <c r="H218" s="183">
        <f t="shared" si="3"/>
        <v>6852</v>
      </c>
    </row>
    <row r="219" spans="2:8" ht="15" customHeight="1" x14ac:dyDescent="0.25">
      <c r="B219" s="178" t="s">
        <v>568</v>
      </c>
      <c r="C219" s="157" t="s">
        <v>569</v>
      </c>
      <c r="D219" s="157" t="s">
        <v>570</v>
      </c>
      <c r="E219" s="163">
        <v>12</v>
      </c>
      <c r="F219" s="183">
        <v>1712</v>
      </c>
      <c r="G219" s="180"/>
      <c r="H219" s="183">
        <f t="shared" si="3"/>
        <v>20544</v>
      </c>
    </row>
    <row r="220" spans="2:8" ht="15" customHeight="1" x14ac:dyDescent="0.25">
      <c r="B220" s="178" t="s">
        <v>571</v>
      </c>
      <c r="C220" s="157" t="s">
        <v>572</v>
      </c>
      <c r="D220" s="157" t="s">
        <v>573</v>
      </c>
      <c r="E220" s="163">
        <v>2</v>
      </c>
      <c r="F220" s="183">
        <v>23</v>
      </c>
      <c r="G220" s="180"/>
      <c r="H220" s="183">
        <f t="shared" si="3"/>
        <v>46</v>
      </c>
    </row>
    <row r="221" spans="2:8" ht="15" customHeight="1" x14ac:dyDescent="0.25">
      <c r="B221" s="178" t="s">
        <v>574</v>
      </c>
      <c r="C221" s="157" t="s">
        <v>575</v>
      </c>
      <c r="D221" s="157" t="s">
        <v>576</v>
      </c>
      <c r="E221" s="163">
        <v>2</v>
      </c>
      <c r="F221" s="183">
        <v>23</v>
      </c>
      <c r="G221" s="180"/>
      <c r="H221" s="183">
        <f t="shared" si="3"/>
        <v>46</v>
      </c>
    </row>
    <row r="222" spans="2:8" ht="15" customHeight="1" x14ac:dyDescent="0.25">
      <c r="B222" s="178" t="s">
        <v>577</v>
      </c>
      <c r="C222" s="157" t="s">
        <v>578</v>
      </c>
      <c r="D222" s="157" t="s">
        <v>579</v>
      </c>
      <c r="E222" s="163"/>
      <c r="F222" s="183"/>
      <c r="G222" s="180"/>
      <c r="H222" s="183">
        <f t="shared" si="3"/>
        <v>0</v>
      </c>
    </row>
    <row r="223" spans="2:8" ht="15" customHeight="1" x14ac:dyDescent="0.25">
      <c r="B223" s="178" t="s">
        <v>580</v>
      </c>
      <c r="C223" s="157" t="s">
        <v>578</v>
      </c>
      <c r="D223" s="157" t="s">
        <v>581</v>
      </c>
      <c r="E223" s="163"/>
      <c r="F223" s="183"/>
      <c r="G223" s="180"/>
      <c r="H223" s="183">
        <f t="shared" si="3"/>
        <v>0</v>
      </c>
    </row>
    <row r="224" spans="2:8" ht="15" customHeight="1" x14ac:dyDescent="0.25">
      <c r="B224" s="178" t="s">
        <v>582</v>
      </c>
      <c r="C224" s="157" t="s">
        <v>578</v>
      </c>
      <c r="D224" s="157" t="s">
        <v>583</v>
      </c>
      <c r="E224" s="163">
        <v>10</v>
      </c>
      <c r="F224" s="183">
        <v>10.5</v>
      </c>
      <c r="G224" s="180"/>
      <c r="H224" s="183">
        <f t="shared" si="3"/>
        <v>105</v>
      </c>
    </row>
    <row r="225" spans="2:8" ht="15" customHeight="1" x14ac:dyDescent="0.25">
      <c r="B225" s="178" t="s">
        <v>584</v>
      </c>
      <c r="C225" s="157" t="s">
        <v>585</v>
      </c>
      <c r="D225" s="157" t="s">
        <v>586</v>
      </c>
      <c r="E225" s="163"/>
      <c r="F225" s="183"/>
      <c r="G225" s="180"/>
      <c r="H225" s="183">
        <f t="shared" si="3"/>
        <v>0</v>
      </c>
    </row>
    <row r="226" spans="2:8" ht="15" customHeight="1" x14ac:dyDescent="0.25">
      <c r="B226" s="178" t="s">
        <v>587</v>
      </c>
      <c r="C226" s="157" t="s">
        <v>588</v>
      </c>
      <c r="D226" s="157" t="s">
        <v>589</v>
      </c>
      <c r="E226" s="163"/>
      <c r="F226" s="183"/>
      <c r="G226" s="180"/>
      <c r="H226" s="183">
        <f t="shared" si="3"/>
        <v>0</v>
      </c>
    </row>
    <row r="227" spans="2:8" ht="15" customHeight="1" x14ac:dyDescent="0.25">
      <c r="B227" s="178" t="s">
        <v>590</v>
      </c>
      <c r="C227" s="157" t="s">
        <v>591</v>
      </c>
      <c r="D227" s="157" t="s">
        <v>592</v>
      </c>
      <c r="E227" s="163">
        <v>2</v>
      </c>
      <c r="F227" s="183">
        <v>6.03</v>
      </c>
      <c r="G227" s="180"/>
      <c r="H227" s="183">
        <f t="shared" si="3"/>
        <v>12.06</v>
      </c>
    </row>
    <row r="228" spans="2:8" ht="15" customHeight="1" x14ac:dyDescent="0.25">
      <c r="B228" s="178" t="s">
        <v>593</v>
      </c>
      <c r="C228" s="157" t="s">
        <v>594</v>
      </c>
      <c r="D228" s="157" t="s">
        <v>595</v>
      </c>
      <c r="E228" s="163"/>
      <c r="F228" s="183"/>
      <c r="G228" s="180"/>
      <c r="H228" s="183">
        <f t="shared" si="3"/>
        <v>0</v>
      </c>
    </row>
    <row r="229" spans="2:8" ht="15" customHeight="1" x14ac:dyDescent="0.25">
      <c r="B229" s="178" t="s">
        <v>596</v>
      </c>
      <c r="C229" s="157" t="s">
        <v>597</v>
      </c>
      <c r="D229" s="157" t="s">
        <v>598</v>
      </c>
      <c r="E229" s="163"/>
      <c r="F229" s="183"/>
      <c r="G229" s="180"/>
      <c r="H229" s="183">
        <f t="shared" si="3"/>
        <v>0</v>
      </c>
    </row>
    <row r="230" spans="2:8" ht="15" customHeight="1" x14ac:dyDescent="0.25">
      <c r="B230" s="178" t="s">
        <v>599</v>
      </c>
      <c r="C230" s="157" t="s">
        <v>600</v>
      </c>
      <c r="D230" s="157" t="s">
        <v>601</v>
      </c>
      <c r="E230" s="163">
        <f>77+72</f>
        <v>149</v>
      </c>
      <c r="F230" s="183">
        <v>9.43</v>
      </c>
      <c r="G230" s="180"/>
      <c r="H230" s="183">
        <f t="shared" si="3"/>
        <v>1405.07</v>
      </c>
    </row>
    <row r="231" spans="2:8" ht="15" customHeight="1" x14ac:dyDescent="0.25">
      <c r="B231" s="178" t="s">
        <v>602</v>
      </c>
      <c r="C231" s="157" t="s">
        <v>600</v>
      </c>
      <c r="D231" s="157" t="s">
        <v>603</v>
      </c>
      <c r="E231" s="163">
        <v>490</v>
      </c>
      <c r="F231" s="183">
        <v>9.43</v>
      </c>
      <c r="G231" s="180"/>
      <c r="H231" s="183">
        <f t="shared" si="3"/>
        <v>4620.7</v>
      </c>
    </row>
    <row r="232" spans="2:8" ht="15" customHeight="1" x14ac:dyDescent="0.25">
      <c r="B232" s="178" t="s">
        <v>604</v>
      </c>
      <c r="C232" s="157" t="s">
        <v>600</v>
      </c>
      <c r="D232" s="157" t="s">
        <v>605</v>
      </c>
      <c r="E232" s="163">
        <f>73+20</f>
        <v>93</v>
      </c>
      <c r="F232" s="183">
        <v>9.43</v>
      </c>
      <c r="G232" s="180"/>
      <c r="H232" s="183">
        <f t="shared" si="3"/>
        <v>876.99</v>
      </c>
    </row>
    <row r="233" spans="2:8" ht="15" customHeight="1" x14ac:dyDescent="0.25">
      <c r="B233" s="178" t="s">
        <v>606</v>
      </c>
      <c r="C233" s="157" t="s">
        <v>600</v>
      </c>
      <c r="D233" s="157" t="s">
        <v>607</v>
      </c>
      <c r="E233" s="163">
        <f>94+45</f>
        <v>139</v>
      </c>
      <c r="F233" s="183">
        <v>9.43</v>
      </c>
      <c r="G233" s="180"/>
      <c r="H233" s="183">
        <f t="shared" si="3"/>
        <v>1310.77</v>
      </c>
    </row>
    <row r="234" spans="2:8" ht="15" customHeight="1" x14ac:dyDescent="0.25">
      <c r="B234" s="178" t="s">
        <v>608</v>
      </c>
      <c r="C234" s="157" t="s">
        <v>600</v>
      </c>
      <c r="D234" s="157" t="s">
        <v>609</v>
      </c>
      <c r="E234" s="163">
        <f>61+108</f>
        <v>169</v>
      </c>
      <c r="F234" s="183">
        <v>9.43</v>
      </c>
      <c r="G234" s="180"/>
      <c r="H234" s="183">
        <f t="shared" si="3"/>
        <v>1593.6699999999998</v>
      </c>
    </row>
    <row r="235" spans="2:8" ht="15" customHeight="1" x14ac:dyDescent="0.25">
      <c r="B235" s="178" t="s">
        <v>610</v>
      </c>
      <c r="C235" s="157" t="s">
        <v>611</v>
      </c>
      <c r="D235" s="157" t="s">
        <v>612</v>
      </c>
      <c r="E235" s="163"/>
      <c r="F235" s="183"/>
      <c r="G235" s="180"/>
      <c r="H235" s="183">
        <f t="shared" si="3"/>
        <v>0</v>
      </c>
    </row>
    <row r="236" spans="2:8" ht="15" customHeight="1" x14ac:dyDescent="0.25">
      <c r="B236" s="178" t="s">
        <v>613</v>
      </c>
      <c r="C236" s="157" t="s">
        <v>611</v>
      </c>
      <c r="D236" s="157" t="s">
        <v>614</v>
      </c>
      <c r="E236" s="163"/>
      <c r="F236" s="183"/>
      <c r="G236" s="180"/>
      <c r="H236" s="183">
        <f t="shared" si="3"/>
        <v>0</v>
      </c>
    </row>
    <row r="237" spans="2:8" ht="15" customHeight="1" x14ac:dyDescent="0.25">
      <c r="B237" s="178" t="s">
        <v>615</v>
      </c>
      <c r="C237" s="157" t="s">
        <v>616</v>
      </c>
      <c r="D237" s="157" t="s">
        <v>617</v>
      </c>
      <c r="E237" s="163">
        <f>166+3120</f>
        <v>3286</v>
      </c>
      <c r="F237" s="183">
        <v>141.94999999999999</v>
      </c>
      <c r="G237" s="180"/>
      <c r="H237" s="183">
        <f t="shared" si="3"/>
        <v>466447.69999999995</v>
      </c>
    </row>
    <row r="238" spans="2:8" ht="15" customHeight="1" x14ac:dyDescent="0.25">
      <c r="B238" s="178" t="s">
        <v>618</v>
      </c>
      <c r="C238" s="157" t="s">
        <v>616</v>
      </c>
      <c r="D238" s="157" t="s">
        <v>619</v>
      </c>
      <c r="E238" s="163">
        <f>15+543</f>
        <v>558</v>
      </c>
      <c r="F238" s="183">
        <v>188.80199999999999</v>
      </c>
      <c r="G238" s="180"/>
      <c r="H238" s="183">
        <f t="shared" si="3"/>
        <v>105351.51599999999</v>
      </c>
    </row>
    <row r="239" spans="2:8" ht="15" customHeight="1" x14ac:dyDescent="0.25">
      <c r="B239" s="178" t="s">
        <v>620</v>
      </c>
      <c r="C239" s="157" t="s">
        <v>616</v>
      </c>
      <c r="D239" s="157" t="s">
        <v>621</v>
      </c>
      <c r="E239" s="163">
        <f>1+9</f>
        <v>10</v>
      </c>
      <c r="F239" s="183">
        <v>188.8</v>
      </c>
      <c r="G239" s="180"/>
      <c r="H239" s="183">
        <f t="shared" si="3"/>
        <v>1888</v>
      </c>
    </row>
    <row r="240" spans="2:8" ht="15" customHeight="1" x14ac:dyDescent="0.25">
      <c r="B240" s="178" t="s">
        <v>622</v>
      </c>
      <c r="C240" s="157" t="s">
        <v>616</v>
      </c>
      <c r="D240" s="157" t="s">
        <v>623</v>
      </c>
      <c r="E240" s="163">
        <f>28+10</f>
        <v>38</v>
      </c>
      <c r="F240" s="183">
        <v>464.4</v>
      </c>
      <c r="G240" s="180"/>
      <c r="H240" s="183">
        <f t="shared" si="3"/>
        <v>17647.2</v>
      </c>
    </row>
    <row r="241" spans="2:8" ht="15" customHeight="1" x14ac:dyDescent="0.25">
      <c r="B241" s="178" t="s">
        <v>624</v>
      </c>
      <c r="C241" s="157" t="s">
        <v>616</v>
      </c>
      <c r="D241" s="157" t="s">
        <v>625</v>
      </c>
      <c r="E241" s="163">
        <f>51+10</f>
        <v>61</v>
      </c>
      <c r="F241" s="183">
        <v>467.4</v>
      </c>
      <c r="G241" s="180"/>
      <c r="H241" s="183">
        <f t="shared" si="3"/>
        <v>28511.399999999998</v>
      </c>
    </row>
    <row r="242" spans="2:8" ht="15" customHeight="1" x14ac:dyDescent="0.25">
      <c r="B242" s="178" t="s">
        <v>626</v>
      </c>
      <c r="C242" s="157" t="s">
        <v>616</v>
      </c>
      <c r="D242" s="157" t="s">
        <v>627</v>
      </c>
      <c r="E242" s="163"/>
      <c r="F242" s="183"/>
      <c r="G242" s="180"/>
      <c r="H242" s="183">
        <f t="shared" si="3"/>
        <v>0</v>
      </c>
    </row>
    <row r="243" spans="2:8" ht="15" customHeight="1" x14ac:dyDescent="0.25">
      <c r="B243" s="178" t="s">
        <v>628</v>
      </c>
      <c r="C243" s="157" t="s">
        <v>616</v>
      </c>
      <c r="D243" s="157" t="s">
        <v>629</v>
      </c>
      <c r="E243" s="163">
        <f>5+15</f>
        <v>20</v>
      </c>
      <c r="F243" s="183">
        <v>141.94999999999999</v>
      </c>
      <c r="G243" s="180"/>
      <c r="H243" s="183">
        <f t="shared" si="3"/>
        <v>2839</v>
      </c>
    </row>
    <row r="244" spans="2:8" ht="15" customHeight="1" x14ac:dyDescent="0.25">
      <c r="B244" s="178" t="s">
        <v>630</v>
      </c>
      <c r="C244" s="157" t="s">
        <v>631</v>
      </c>
      <c r="D244" s="157" t="s">
        <v>632</v>
      </c>
      <c r="E244" s="163">
        <f>11+40</f>
        <v>51</v>
      </c>
      <c r="F244" s="183">
        <v>460.2</v>
      </c>
      <c r="G244" s="180"/>
      <c r="H244" s="183">
        <f t="shared" si="3"/>
        <v>23470.2</v>
      </c>
    </row>
    <row r="245" spans="2:8" ht="15" customHeight="1" x14ac:dyDescent="0.25">
      <c r="B245" s="178" t="s">
        <v>633</v>
      </c>
      <c r="C245" s="157" t="s">
        <v>631</v>
      </c>
      <c r="D245" s="157" t="s">
        <v>634</v>
      </c>
      <c r="E245" s="163">
        <f>1+13</f>
        <v>14</v>
      </c>
      <c r="F245" s="183">
        <v>460.2</v>
      </c>
      <c r="G245" s="180"/>
      <c r="H245" s="183">
        <f t="shared" si="3"/>
        <v>6442.8</v>
      </c>
    </row>
    <row r="246" spans="2:8" ht="15" customHeight="1" x14ac:dyDescent="0.25">
      <c r="B246" s="178" t="s">
        <v>635</v>
      </c>
      <c r="C246" s="157" t="s">
        <v>636</v>
      </c>
      <c r="D246" s="157" t="s">
        <v>637</v>
      </c>
      <c r="E246" s="163"/>
      <c r="F246" s="183"/>
      <c r="G246" s="180"/>
      <c r="H246" s="183">
        <f t="shared" si="3"/>
        <v>0</v>
      </c>
    </row>
    <row r="247" spans="2:8" ht="15" customHeight="1" x14ac:dyDescent="0.25">
      <c r="B247" s="178" t="s">
        <v>638</v>
      </c>
      <c r="C247" s="157" t="s">
        <v>636</v>
      </c>
      <c r="D247" s="157" t="s">
        <v>639</v>
      </c>
      <c r="E247" s="163">
        <v>2</v>
      </c>
      <c r="F247" s="183">
        <v>467.5</v>
      </c>
      <c r="G247" s="180"/>
      <c r="H247" s="183">
        <f t="shared" si="3"/>
        <v>935</v>
      </c>
    </row>
    <row r="248" spans="2:8" ht="15" customHeight="1" x14ac:dyDescent="0.25">
      <c r="B248" s="178" t="s">
        <v>640</v>
      </c>
      <c r="C248" s="157" t="s">
        <v>641</v>
      </c>
      <c r="D248" s="157" t="s">
        <v>642</v>
      </c>
      <c r="E248" s="163">
        <v>0</v>
      </c>
      <c r="F248" s="183">
        <v>14.15</v>
      </c>
      <c r="G248" s="180"/>
      <c r="H248" s="183">
        <f t="shared" si="3"/>
        <v>0</v>
      </c>
    </row>
    <row r="249" spans="2:8" ht="15" customHeight="1" x14ac:dyDescent="0.25">
      <c r="B249" s="178" t="s">
        <v>643</v>
      </c>
      <c r="C249" s="157" t="s">
        <v>644</v>
      </c>
      <c r="D249" s="157" t="s">
        <v>645</v>
      </c>
      <c r="E249" s="163"/>
      <c r="F249" s="183"/>
      <c r="G249" s="180"/>
      <c r="H249" s="183">
        <f t="shared" si="3"/>
        <v>0</v>
      </c>
    </row>
    <row r="250" spans="2:8" ht="15" customHeight="1" x14ac:dyDescent="0.25">
      <c r="B250" s="178" t="s">
        <v>646</v>
      </c>
      <c r="C250" s="157" t="s">
        <v>647</v>
      </c>
      <c r="D250" s="157" t="s">
        <v>394</v>
      </c>
      <c r="E250" s="163">
        <f>15+2</f>
        <v>17</v>
      </c>
      <c r="F250" s="183">
        <v>17</v>
      </c>
      <c r="G250" s="180"/>
      <c r="H250" s="183">
        <f t="shared" si="3"/>
        <v>289</v>
      </c>
    </row>
    <row r="251" spans="2:8" ht="15" customHeight="1" x14ac:dyDescent="0.25">
      <c r="B251" s="178" t="s">
        <v>648</v>
      </c>
      <c r="C251" s="157" t="s">
        <v>649</v>
      </c>
      <c r="D251" s="157" t="s">
        <v>650</v>
      </c>
      <c r="E251" s="163">
        <f>4+2</f>
        <v>6</v>
      </c>
      <c r="F251" s="183">
        <v>980</v>
      </c>
      <c r="G251" s="180"/>
      <c r="H251" s="183">
        <f t="shared" si="3"/>
        <v>5880</v>
      </c>
    </row>
    <row r="252" spans="2:8" ht="15" customHeight="1" x14ac:dyDescent="0.25">
      <c r="B252" s="178" t="s">
        <v>651</v>
      </c>
      <c r="C252" s="157" t="s">
        <v>649</v>
      </c>
      <c r="D252" s="157" t="s">
        <v>652</v>
      </c>
      <c r="E252" s="163">
        <v>173</v>
      </c>
      <c r="F252" s="183">
        <v>5.8</v>
      </c>
      <c r="G252" s="180"/>
      <c r="H252" s="183">
        <f t="shared" si="3"/>
        <v>1003.4</v>
      </c>
    </row>
    <row r="253" spans="2:8" ht="15" customHeight="1" x14ac:dyDescent="0.25">
      <c r="B253" s="178" t="s">
        <v>653</v>
      </c>
      <c r="C253" s="157" t="s">
        <v>654</v>
      </c>
      <c r="D253" s="157" t="s">
        <v>655</v>
      </c>
      <c r="E253" s="163">
        <v>3149</v>
      </c>
      <c r="F253" s="183">
        <v>4.58</v>
      </c>
      <c r="G253" s="180"/>
      <c r="H253" s="183">
        <f t="shared" si="3"/>
        <v>14422.42</v>
      </c>
    </row>
    <row r="254" spans="2:8" ht="15" customHeight="1" x14ac:dyDescent="0.25">
      <c r="B254" s="178" t="s">
        <v>656</v>
      </c>
      <c r="C254" s="157" t="s">
        <v>657</v>
      </c>
      <c r="D254" s="157" t="s">
        <v>658</v>
      </c>
      <c r="E254" s="163"/>
      <c r="F254" s="183"/>
      <c r="G254" s="180"/>
      <c r="H254" s="183">
        <f t="shared" si="3"/>
        <v>0</v>
      </c>
    </row>
    <row r="255" spans="2:8" ht="15" customHeight="1" x14ac:dyDescent="0.25">
      <c r="B255" s="178" t="s">
        <v>659</v>
      </c>
      <c r="C255" s="157" t="s">
        <v>660</v>
      </c>
      <c r="D255" s="157" t="s">
        <v>661</v>
      </c>
      <c r="E255" s="163">
        <v>35</v>
      </c>
      <c r="F255" s="183">
        <v>125</v>
      </c>
      <c r="G255" s="180"/>
      <c r="H255" s="183">
        <f t="shared" si="3"/>
        <v>4375</v>
      </c>
    </row>
    <row r="256" spans="2:8" ht="15" customHeight="1" x14ac:dyDescent="0.25">
      <c r="B256" s="178" t="s">
        <v>662</v>
      </c>
      <c r="C256" s="157" t="s">
        <v>660</v>
      </c>
      <c r="D256" s="157" t="s">
        <v>663</v>
      </c>
      <c r="E256" s="163">
        <v>4</v>
      </c>
      <c r="F256" s="183">
        <v>61.6</v>
      </c>
      <c r="G256" s="180"/>
      <c r="H256" s="183">
        <f t="shared" si="3"/>
        <v>246.4</v>
      </c>
    </row>
    <row r="257" spans="2:8" ht="15" customHeight="1" x14ac:dyDescent="0.25">
      <c r="B257" s="178" t="s">
        <v>664</v>
      </c>
      <c r="C257" s="157" t="s">
        <v>660</v>
      </c>
      <c r="D257" s="157" t="s">
        <v>665</v>
      </c>
      <c r="E257" s="163"/>
      <c r="F257" s="183"/>
      <c r="G257" s="180"/>
      <c r="H257" s="183">
        <f t="shared" si="3"/>
        <v>0</v>
      </c>
    </row>
    <row r="258" spans="2:8" ht="15" customHeight="1" x14ac:dyDescent="0.25">
      <c r="B258" s="178" t="s">
        <v>666</v>
      </c>
      <c r="C258" s="157" t="s">
        <v>660</v>
      </c>
      <c r="D258" s="157" t="s">
        <v>667</v>
      </c>
      <c r="E258" s="163">
        <f>2+46</f>
        <v>48</v>
      </c>
      <c r="F258" s="183">
        <v>16.43</v>
      </c>
      <c r="G258" s="180"/>
      <c r="H258" s="183">
        <f t="shared" si="3"/>
        <v>788.64</v>
      </c>
    </row>
    <row r="259" spans="2:8" ht="15" customHeight="1" x14ac:dyDescent="0.25">
      <c r="B259" s="178" t="s">
        <v>668</v>
      </c>
      <c r="C259" s="157" t="s">
        <v>660</v>
      </c>
      <c r="D259" s="157" t="s">
        <v>669</v>
      </c>
      <c r="E259" s="163"/>
      <c r="F259" s="183"/>
      <c r="G259" s="180"/>
      <c r="H259" s="183">
        <f t="shared" si="3"/>
        <v>0</v>
      </c>
    </row>
    <row r="260" spans="2:8" ht="15" customHeight="1" x14ac:dyDescent="0.25">
      <c r="B260" s="178" t="s">
        <v>670</v>
      </c>
      <c r="C260" s="157" t="s">
        <v>671</v>
      </c>
      <c r="D260" s="157" t="s">
        <v>672</v>
      </c>
      <c r="E260" s="163">
        <f>1045+2494</f>
        <v>3539</v>
      </c>
      <c r="F260" s="183">
        <v>0.71</v>
      </c>
      <c r="G260" s="180"/>
      <c r="H260" s="183">
        <f t="shared" si="3"/>
        <v>2512.69</v>
      </c>
    </row>
    <row r="261" spans="2:8" ht="15" customHeight="1" x14ac:dyDescent="0.25">
      <c r="B261" s="178" t="s">
        <v>673</v>
      </c>
      <c r="C261" s="157" t="s">
        <v>674</v>
      </c>
      <c r="D261" s="157" t="s">
        <v>675</v>
      </c>
      <c r="E261" s="163">
        <f>1140+2494</f>
        <v>3634</v>
      </c>
      <c r="F261" s="183">
        <v>0.8</v>
      </c>
      <c r="G261" s="180"/>
      <c r="H261" s="183">
        <f t="shared" si="3"/>
        <v>2907.2000000000003</v>
      </c>
    </row>
    <row r="262" spans="2:8" ht="15" customHeight="1" x14ac:dyDescent="0.25">
      <c r="B262" s="178" t="s">
        <v>676</v>
      </c>
      <c r="C262" s="157" t="s">
        <v>674</v>
      </c>
      <c r="D262" s="157" t="s">
        <v>677</v>
      </c>
      <c r="E262" s="163"/>
      <c r="F262" s="183"/>
      <c r="G262" s="180"/>
      <c r="H262" s="183">
        <f t="shared" si="3"/>
        <v>0</v>
      </c>
    </row>
    <row r="263" spans="2:8" ht="15" customHeight="1" x14ac:dyDescent="0.25">
      <c r="B263" s="178" t="s">
        <v>678</v>
      </c>
      <c r="C263" s="157" t="s">
        <v>679</v>
      </c>
      <c r="D263" s="157" t="s">
        <v>680</v>
      </c>
      <c r="E263" s="163">
        <v>1987</v>
      </c>
      <c r="F263" s="183">
        <v>3.5</v>
      </c>
      <c r="G263" s="180"/>
      <c r="H263" s="183">
        <f t="shared" si="3"/>
        <v>6954.5</v>
      </c>
    </row>
    <row r="264" spans="2:8" ht="15" customHeight="1" x14ac:dyDescent="0.25">
      <c r="B264" s="178" t="s">
        <v>681</v>
      </c>
      <c r="C264" s="157" t="s">
        <v>679</v>
      </c>
      <c r="D264" s="157" t="s">
        <v>682</v>
      </c>
      <c r="E264" s="163">
        <v>57</v>
      </c>
      <c r="F264" s="183">
        <v>2.6</v>
      </c>
      <c r="G264" s="180"/>
      <c r="H264" s="183">
        <f t="shared" si="3"/>
        <v>148.20000000000002</v>
      </c>
    </row>
    <row r="265" spans="2:8" ht="15" customHeight="1" x14ac:dyDescent="0.25">
      <c r="B265" s="178" t="s">
        <v>683</v>
      </c>
      <c r="C265" s="157" t="s">
        <v>679</v>
      </c>
      <c r="D265" s="157" t="s">
        <v>684</v>
      </c>
      <c r="E265" s="163"/>
      <c r="F265" s="183"/>
      <c r="G265" s="180"/>
      <c r="H265" s="183">
        <f t="shared" si="3"/>
        <v>0</v>
      </c>
    </row>
    <row r="266" spans="2:8" ht="15" customHeight="1" x14ac:dyDescent="0.25">
      <c r="B266" s="178" t="s">
        <v>685</v>
      </c>
      <c r="C266" s="157" t="s">
        <v>679</v>
      </c>
      <c r="D266" s="157" t="s">
        <v>686</v>
      </c>
      <c r="E266" s="163">
        <v>25988</v>
      </c>
      <c r="F266" s="183">
        <v>4.0999999999999996</v>
      </c>
      <c r="G266" s="180"/>
      <c r="H266" s="183">
        <f t="shared" si="3"/>
        <v>106550.79999999999</v>
      </c>
    </row>
    <row r="267" spans="2:8" ht="15" customHeight="1" x14ac:dyDescent="0.25">
      <c r="B267" s="178" t="s">
        <v>687</v>
      </c>
      <c r="C267" s="157" t="s">
        <v>679</v>
      </c>
      <c r="D267" s="157" t="s">
        <v>688</v>
      </c>
      <c r="E267" s="163">
        <v>3492</v>
      </c>
      <c r="F267" s="183">
        <v>1</v>
      </c>
      <c r="G267" s="180"/>
      <c r="H267" s="183">
        <f t="shared" si="3"/>
        <v>3492</v>
      </c>
    </row>
    <row r="268" spans="2:8" ht="15" customHeight="1" x14ac:dyDescent="0.25">
      <c r="B268" s="178" t="s">
        <v>689</v>
      </c>
      <c r="C268" s="157" t="s">
        <v>690</v>
      </c>
      <c r="D268" s="157" t="s">
        <v>691</v>
      </c>
      <c r="E268" s="163">
        <v>135</v>
      </c>
      <c r="F268" s="183">
        <v>75</v>
      </c>
      <c r="G268" s="180"/>
      <c r="H268" s="183">
        <f t="shared" si="3"/>
        <v>10125</v>
      </c>
    </row>
    <row r="269" spans="2:8" ht="15" customHeight="1" x14ac:dyDescent="0.25">
      <c r="B269" s="178" t="s">
        <v>692</v>
      </c>
      <c r="C269" s="157" t="s">
        <v>690</v>
      </c>
      <c r="D269" s="157" t="s">
        <v>693</v>
      </c>
      <c r="E269" s="163">
        <v>1</v>
      </c>
      <c r="F269" s="183">
        <v>115.01</v>
      </c>
      <c r="G269" s="180"/>
      <c r="H269" s="183">
        <f t="shared" si="3"/>
        <v>115.01</v>
      </c>
    </row>
    <row r="270" spans="2:8" ht="15" customHeight="1" x14ac:dyDescent="0.25">
      <c r="B270" s="178" t="s">
        <v>694</v>
      </c>
      <c r="C270" s="157" t="s">
        <v>695</v>
      </c>
      <c r="D270" s="157" t="s">
        <v>696</v>
      </c>
      <c r="E270" s="163">
        <f>6+37</f>
        <v>43</v>
      </c>
      <c r="F270" s="183">
        <v>3517</v>
      </c>
      <c r="G270" s="180"/>
      <c r="H270" s="183">
        <f t="shared" si="3"/>
        <v>151231</v>
      </c>
    </row>
    <row r="271" spans="2:8" ht="15" customHeight="1" x14ac:dyDescent="0.25">
      <c r="B271" s="178" t="s">
        <v>697</v>
      </c>
      <c r="C271" s="157" t="s">
        <v>695</v>
      </c>
      <c r="D271" s="157" t="s">
        <v>698</v>
      </c>
      <c r="E271" s="163">
        <f>6+9</f>
        <v>15</v>
      </c>
      <c r="F271" s="183">
        <v>3050</v>
      </c>
      <c r="G271" s="180"/>
      <c r="H271" s="183">
        <f t="shared" si="3"/>
        <v>45750</v>
      </c>
    </row>
    <row r="272" spans="2:8" ht="15" customHeight="1" x14ac:dyDescent="0.25">
      <c r="B272" s="178" t="s">
        <v>699</v>
      </c>
      <c r="C272" s="157" t="s">
        <v>695</v>
      </c>
      <c r="D272" s="157" t="s">
        <v>700</v>
      </c>
      <c r="E272" s="163">
        <v>1</v>
      </c>
      <c r="F272" s="183">
        <v>2011</v>
      </c>
      <c r="G272" s="180"/>
      <c r="H272" s="183">
        <f t="shared" si="3"/>
        <v>2011</v>
      </c>
    </row>
    <row r="273" spans="2:8" ht="15" customHeight="1" x14ac:dyDescent="0.25">
      <c r="B273" s="178" t="s">
        <v>701</v>
      </c>
      <c r="C273" s="157" t="s">
        <v>702</v>
      </c>
      <c r="D273" s="157" t="s">
        <v>703</v>
      </c>
      <c r="E273" s="163">
        <v>0</v>
      </c>
      <c r="F273" s="183">
        <v>5.3</v>
      </c>
      <c r="G273" s="180"/>
      <c r="H273" s="183">
        <f t="shared" ref="H273:H283" si="4">E273*F273</f>
        <v>0</v>
      </c>
    </row>
    <row r="274" spans="2:8" ht="15" customHeight="1" x14ac:dyDescent="0.25">
      <c r="B274" s="178" t="s">
        <v>704</v>
      </c>
      <c r="C274" s="157" t="s">
        <v>705</v>
      </c>
      <c r="D274" s="157" t="s">
        <v>706</v>
      </c>
      <c r="E274" s="163"/>
      <c r="F274" s="183"/>
      <c r="G274" s="180"/>
      <c r="H274" s="183">
        <f t="shared" si="4"/>
        <v>0</v>
      </c>
    </row>
    <row r="275" spans="2:8" ht="15" customHeight="1" x14ac:dyDescent="0.25">
      <c r="B275" s="178" t="s">
        <v>707</v>
      </c>
      <c r="C275" s="157" t="s">
        <v>708</v>
      </c>
      <c r="D275" s="157" t="s">
        <v>709</v>
      </c>
      <c r="E275" s="163"/>
      <c r="F275" s="183"/>
      <c r="G275" s="180"/>
      <c r="H275" s="183">
        <f t="shared" si="4"/>
        <v>0</v>
      </c>
    </row>
    <row r="276" spans="2:8" ht="15" customHeight="1" x14ac:dyDescent="0.25">
      <c r="B276" s="178" t="s">
        <v>710</v>
      </c>
      <c r="C276" s="157" t="s">
        <v>711</v>
      </c>
      <c r="D276" s="157" t="s">
        <v>712</v>
      </c>
      <c r="E276" s="163"/>
      <c r="F276" s="183"/>
      <c r="G276" s="180"/>
      <c r="H276" s="183">
        <f t="shared" si="4"/>
        <v>0</v>
      </c>
    </row>
    <row r="277" spans="2:8" s="24" customFormat="1" ht="20.100000000000001" customHeight="1" x14ac:dyDescent="0.25">
      <c r="B277" s="178" t="s">
        <v>713</v>
      </c>
      <c r="C277" s="157" t="s">
        <v>714</v>
      </c>
      <c r="D277" s="157" t="s">
        <v>715</v>
      </c>
      <c r="E277" s="163"/>
      <c r="F277" s="183"/>
      <c r="G277" s="165"/>
      <c r="H277" s="183">
        <f t="shared" si="4"/>
        <v>0</v>
      </c>
    </row>
    <row r="278" spans="2:8" ht="15.75" customHeight="1" x14ac:dyDescent="0.25">
      <c r="B278" s="178" t="s">
        <v>716</v>
      </c>
      <c r="C278" s="157" t="s">
        <v>717</v>
      </c>
      <c r="D278" s="157" t="s">
        <v>718</v>
      </c>
      <c r="E278" s="163"/>
      <c r="F278" s="183"/>
      <c r="G278" s="180"/>
      <c r="H278" s="183">
        <f t="shared" si="4"/>
        <v>0</v>
      </c>
    </row>
    <row r="279" spans="2:8" ht="12" customHeight="1" x14ac:dyDescent="0.25">
      <c r="B279" s="178" t="s">
        <v>719</v>
      </c>
      <c r="C279" s="157" t="s">
        <v>720</v>
      </c>
      <c r="D279" s="157" t="s">
        <v>721</v>
      </c>
      <c r="E279" s="163">
        <v>2</v>
      </c>
      <c r="F279" s="183">
        <v>35</v>
      </c>
      <c r="G279" s="180"/>
      <c r="H279" s="183">
        <f t="shared" si="4"/>
        <v>70</v>
      </c>
    </row>
    <row r="280" spans="2:8" s="32" customFormat="1" ht="12" customHeight="1" x14ac:dyDescent="0.25">
      <c r="B280" s="178" t="s">
        <v>722</v>
      </c>
      <c r="C280" s="157" t="s">
        <v>720</v>
      </c>
      <c r="D280" s="157" t="s">
        <v>723</v>
      </c>
      <c r="E280" s="163"/>
      <c r="F280" s="183"/>
      <c r="G280" s="180"/>
      <c r="H280" s="183">
        <f t="shared" si="4"/>
        <v>0</v>
      </c>
    </row>
    <row r="281" spans="2:8" ht="15.75" customHeight="1" x14ac:dyDescent="0.25">
      <c r="B281" s="178" t="s">
        <v>724</v>
      </c>
      <c r="C281" s="157" t="s">
        <v>725</v>
      </c>
      <c r="D281" s="157" t="s">
        <v>726</v>
      </c>
      <c r="E281" s="163">
        <v>2</v>
      </c>
      <c r="F281" s="183"/>
      <c r="G281" s="180"/>
      <c r="H281" s="183">
        <f t="shared" si="4"/>
        <v>0</v>
      </c>
    </row>
    <row r="282" spans="2:8" ht="15" customHeight="1" x14ac:dyDescent="0.25">
      <c r="B282" s="178" t="s">
        <v>727</v>
      </c>
      <c r="C282" s="157" t="s">
        <v>728</v>
      </c>
      <c r="D282" s="157" t="s">
        <v>729</v>
      </c>
      <c r="E282" s="163"/>
      <c r="F282" s="183"/>
      <c r="G282" s="180"/>
      <c r="H282" s="183">
        <f t="shared" si="4"/>
        <v>0</v>
      </c>
    </row>
    <row r="283" spans="2:8" ht="15" customHeight="1" x14ac:dyDescent="0.25">
      <c r="B283" s="178" t="s">
        <v>730</v>
      </c>
      <c r="C283" s="157" t="s">
        <v>731</v>
      </c>
      <c r="D283" s="157" t="s">
        <v>732</v>
      </c>
      <c r="E283" s="163">
        <v>0</v>
      </c>
      <c r="F283" s="183">
        <v>350</v>
      </c>
      <c r="G283" s="180"/>
      <c r="H283" s="183">
        <f t="shared" si="4"/>
        <v>0</v>
      </c>
    </row>
    <row r="284" spans="2:8" ht="15" customHeight="1" thickBot="1" x14ac:dyDescent="0.3">
      <c r="B284" s="131" t="s">
        <v>13</v>
      </c>
      <c r="C284" s="131"/>
      <c r="D284" s="131"/>
      <c r="E284" s="131"/>
      <c r="F284" s="131"/>
      <c r="H284" s="176">
        <f>SUM(H16:H283)</f>
        <v>4978844.8960000016</v>
      </c>
    </row>
    <row r="285" spans="2:8" ht="15" customHeight="1" thickTop="1" thickBot="1" x14ac:dyDescent="0.25">
      <c r="B285" s="5"/>
      <c r="C285" s="25"/>
      <c r="D285" s="26"/>
      <c r="E285" s="27"/>
      <c r="F285" s="28"/>
    </row>
    <row r="286" spans="2:8" ht="15" customHeight="1" x14ac:dyDescent="0.2">
      <c r="C286" s="29" t="s">
        <v>22</v>
      </c>
      <c r="D286" s="30" t="s">
        <v>23</v>
      </c>
      <c r="E286" s="31"/>
      <c r="F286" s="30"/>
    </row>
    <row r="287" spans="2:8" ht="15" customHeight="1" x14ac:dyDescent="0.2">
      <c r="C287" s="29"/>
      <c r="D287" s="30"/>
      <c r="E287" s="31"/>
      <c r="F287" s="30"/>
    </row>
    <row r="288" spans="2:8" ht="15" customHeight="1" x14ac:dyDescent="0.2">
      <c r="C288" s="29"/>
      <c r="D288" s="30"/>
      <c r="E288" s="31"/>
      <c r="F288" s="30"/>
    </row>
    <row r="289" spans="2:6" ht="15" customHeight="1" x14ac:dyDescent="0.2">
      <c r="B289" s="32"/>
      <c r="C289" s="50"/>
      <c r="D289" s="132"/>
      <c r="E289" s="132"/>
      <c r="F289" s="132"/>
    </row>
    <row r="290" spans="2:6" ht="15" customHeight="1" x14ac:dyDescent="0.2">
      <c r="B290" s="5"/>
      <c r="C290" s="28"/>
      <c r="D290" s="34"/>
      <c r="E290" s="27"/>
      <c r="F290" s="27"/>
    </row>
    <row r="291" spans="2:6" ht="15" customHeight="1" x14ac:dyDescent="0.2">
      <c r="B291" s="5"/>
      <c r="C291" s="133" t="s">
        <v>14</v>
      </c>
      <c r="D291" s="133"/>
      <c r="E291" s="133"/>
      <c r="F291" s="133"/>
    </row>
    <row r="292" spans="2:6" ht="15" customHeight="1" x14ac:dyDescent="0.2">
      <c r="B292" s="5"/>
      <c r="C292" s="133" t="s">
        <v>15</v>
      </c>
      <c r="D292" s="133"/>
      <c r="E292" s="133"/>
      <c r="F292" s="133"/>
    </row>
    <row r="293" spans="2:6" ht="15" customHeight="1" thickBot="1" x14ac:dyDescent="0.25">
      <c r="B293" s="5"/>
      <c r="C293" s="35"/>
      <c r="D293" s="36"/>
      <c r="E293" s="36"/>
      <c r="F293" s="5"/>
    </row>
    <row r="294" spans="2:6" ht="15" customHeight="1" thickBot="1" x14ac:dyDescent="0.25">
      <c r="B294" s="134" t="s">
        <v>16</v>
      </c>
      <c r="C294" s="134"/>
      <c r="D294" s="134" t="s">
        <v>17</v>
      </c>
      <c r="E294" s="134"/>
      <c r="F294" s="134"/>
    </row>
    <row r="295" spans="2:6" ht="15" customHeight="1" x14ac:dyDescent="0.2">
      <c r="B295" s="121" t="s">
        <v>18</v>
      </c>
      <c r="C295" s="121"/>
      <c r="D295" s="121"/>
      <c r="E295" s="121"/>
      <c r="F295" s="121"/>
    </row>
  </sheetData>
  <mergeCells count="18">
    <mergeCell ref="D294:F294"/>
    <mergeCell ref="B295:F295"/>
    <mergeCell ref="E12:F12"/>
    <mergeCell ref="B13:B14"/>
    <mergeCell ref="C13:C14"/>
    <mergeCell ref="D13:D14"/>
    <mergeCell ref="E13:F13"/>
    <mergeCell ref="B284:F284"/>
    <mergeCell ref="D289:F289"/>
    <mergeCell ref="C291:F291"/>
    <mergeCell ref="C292:F292"/>
    <mergeCell ref="B294:C294"/>
    <mergeCell ref="C9:D9"/>
    <mergeCell ref="C4:F4"/>
    <mergeCell ref="B8:D8"/>
    <mergeCell ref="B5:D5"/>
    <mergeCell ref="B6:D6"/>
    <mergeCell ref="B7:D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Inv. Textil</vt:lpstr>
      <vt:lpstr>Utensilios De Limpieza y Cocina</vt:lpstr>
      <vt:lpstr>Material Gastable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BIENESTAR</dc:creator>
  <cp:lastModifiedBy>Jehury Lopez</cp:lastModifiedBy>
  <cp:lastPrinted>2018-02-02T17:01:26Z</cp:lastPrinted>
  <dcterms:created xsi:type="dcterms:W3CDTF">2017-04-20T15:49:47Z</dcterms:created>
  <dcterms:modified xsi:type="dcterms:W3CDTF">2018-03-02T15:54:08Z</dcterms:modified>
</cp:coreProperties>
</file>